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6.xml" ContentType="application/vnd.openxmlformats-officedocument.drawingml.chartshapes+xml"/>
  <Override PartName="/xl/charts/chart4.xml" ContentType="application/vnd.openxmlformats-officedocument.drawingml.chart+xml"/>
  <Override PartName="/xl/drawings/drawing7.xml" ContentType="application/vnd.openxmlformats-officedocument.drawingml.chartshapes+xml"/>
  <Override PartName="/xl/charts/chart5.xml" ContentType="application/vnd.openxmlformats-officedocument.drawingml.chart+xml"/>
  <Override PartName="/xl/drawings/drawing8.xml" ContentType="application/vnd.openxmlformats-officedocument.drawingml.chartshapes+xml"/>
  <Override PartName="/xl/drawings/drawing9.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10.xml" ContentType="application/vnd.openxmlformats-officedocument.drawingml.chartshapes+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drawings/drawing11.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M:\DairyCo MI\Datum from M\Website PB\Prices\Wholesale prices\AMPE and MCVE\"/>
    </mc:Choice>
  </mc:AlternateContent>
  <xr:revisionPtr revIDLastSave="0" documentId="13_ncr:1_{E06D6AAE-C482-4985-B5CC-3DC0C5A0D40D}" xr6:coauthVersionLast="47" xr6:coauthVersionMax="47" xr10:uidLastSave="{00000000-0000-0000-0000-000000000000}"/>
  <bookViews>
    <workbookView xWindow="-57720" yWindow="-120" windowWidth="29040" windowHeight="15840" tabRatio="433" xr2:uid="{00000000-000D-0000-FFFF-FFFF00000000}"/>
  </bookViews>
  <sheets>
    <sheet name="MMV" sheetId="10" r:id="rId1"/>
    <sheet name="AMPE-MCVE" sheetId="8" r:id="rId2"/>
    <sheet name="Processing costs" sheetId="11" r:id="rId3"/>
    <sheet name="AMPE-MCVE 2014" sheetId="1" state="hidden" r:id="rId4"/>
    <sheet name="Old charst_hide" sheetId="2" state="hidden" r:id="rId5"/>
    <sheet name="Table - HIDE" sheetId="3" state="hidden" r:id="rId6"/>
    <sheet name="Chart" sheetId="9" r:id="rId7"/>
    <sheet name="Disclaimer and notes" sheetId="7"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29" i="10" l="1"/>
  <c r="D129" i="10" s="1"/>
  <c r="R128" i="8"/>
  <c r="Q128" i="8"/>
  <c r="P128" i="8"/>
  <c r="O128" i="8"/>
  <c r="K128" i="8"/>
  <c r="J128" i="8"/>
  <c r="I128" i="8"/>
  <c r="N126" i="8" l="1"/>
  <c r="N128" i="8"/>
  <c r="N127" i="8" l="1"/>
  <c r="Q127" i="8" s="1"/>
  <c r="Q126" i="8"/>
  <c r="C128" i="8" l="1"/>
  <c r="D128" i="8"/>
  <c r="I127" i="8"/>
  <c r="J127" i="8"/>
  <c r="K127" i="8"/>
  <c r="P127" i="8"/>
  <c r="C127" i="8" l="1"/>
  <c r="O127" i="8" l="1"/>
  <c r="R127" i="8" s="1"/>
  <c r="D127" i="8" s="1"/>
  <c r="C128" i="10" l="1"/>
  <c r="P126" i="8"/>
  <c r="K126" i="8"/>
  <c r="J126" i="8"/>
  <c r="I126" i="8"/>
  <c r="C126" i="8" l="1"/>
  <c r="O126" i="8"/>
  <c r="R126" i="8" s="1"/>
  <c r="D126" i="8" s="1"/>
  <c r="C127" i="10" s="1"/>
  <c r="D128" i="10" s="1"/>
  <c r="O125" i="8" l="1"/>
  <c r="N125" i="8"/>
  <c r="N124" i="8"/>
  <c r="I125" i="8" l="1"/>
  <c r="J125" i="8"/>
  <c r="K125" i="8"/>
  <c r="Q125" i="8"/>
  <c r="R125" i="8"/>
  <c r="P125" i="8"/>
  <c r="P124" i="8"/>
  <c r="C125" i="8" l="1"/>
  <c r="D125" i="8"/>
  <c r="N123" i="8"/>
  <c r="C126" i="10" l="1"/>
  <c r="D127" i="10" s="1"/>
  <c r="Q124" i="8"/>
  <c r="I124" i="8"/>
  <c r="J124" i="8"/>
  <c r="K124" i="8"/>
  <c r="O124" i="8"/>
  <c r="R124" i="8" s="1"/>
  <c r="D124" i="8" l="1"/>
  <c r="C124" i="8"/>
  <c r="N122" i="8"/>
  <c r="C125" i="10" l="1"/>
  <c r="D126" i="10" s="1"/>
  <c r="I123" i="8"/>
  <c r="J123" i="8"/>
  <c r="K123" i="8"/>
  <c r="Q123" i="8"/>
  <c r="O123" i="8"/>
  <c r="R123" i="8" s="1"/>
  <c r="P123" i="8"/>
  <c r="Q122" i="8"/>
  <c r="D123" i="8" l="1"/>
  <c r="C123" i="8"/>
  <c r="J122" i="8"/>
  <c r="C124" i="10" l="1"/>
  <c r="D125" i="10" s="1"/>
  <c r="O122" i="8"/>
  <c r="I122" i="8"/>
  <c r="K122" i="8"/>
  <c r="R122" i="8"/>
  <c r="P122" i="8"/>
  <c r="O121" i="8"/>
  <c r="N121" i="8"/>
  <c r="C122" i="8" l="1"/>
  <c r="D122" i="8"/>
  <c r="R121" i="8"/>
  <c r="Q121" i="8"/>
  <c r="P121" i="8"/>
  <c r="K121" i="8"/>
  <c r="J121" i="8"/>
  <c r="I121" i="8"/>
  <c r="P120" i="8"/>
  <c r="K120" i="8"/>
  <c r="J120" i="8"/>
  <c r="I120" i="8"/>
  <c r="N120" i="8"/>
  <c r="Q120" i="8" s="1"/>
  <c r="C123" i="10" l="1"/>
  <c r="D121" i="8"/>
  <c r="C121" i="8"/>
  <c r="N119" i="8"/>
  <c r="C122" i="10" l="1"/>
  <c r="D123" i="10" s="1"/>
  <c r="D124" i="10"/>
  <c r="O120" i="8"/>
  <c r="R120" i="8" s="1"/>
  <c r="Q119" i="8"/>
  <c r="C120" i="8" l="1"/>
  <c r="D120" i="8"/>
  <c r="C121" i="10" l="1"/>
  <c r="D122" i="10" s="1"/>
  <c r="K119" i="8"/>
  <c r="J119" i="8"/>
  <c r="I119" i="8"/>
  <c r="P119" i="8"/>
  <c r="O119" i="8"/>
  <c r="R119" i="8" s="1"/>
  <c r="C119" i="8" l="1"/>
  <c r="D119" i="8"/>
  <c r="N118" i="8"/>
  <c r="C120" i="10" l="1"/>
  <c r="D121" i="10" s="1"/>
  <c r="I118" i="8"/>
  <c r="J118" i="8"/>
  <c r="K118" i="8"/>
  <c r="Q118" i="8"/>
  <c r="O118" i="8"/>
  <c r="R118" i="8" s="1"/>
  <c r="P118" i="8"/>
  <c r="N117" i="8"/>
  <c r="C118" i="8" l="1"/>
  <c r="D118" i="8"/>
  <c r="O117" i="8"/>
  <c r="R117" i="8" s="1"/>
  <c r="P117" i="8"/>
  <c r="Q117" i="8"/>
  <c r="I117" i="8"/>
  <c r="J117" i="8"/>
  <c r="K117" i="8"/>
  <c r="C119" i="10" l="1"/>
  <c r="D120" i="10" s="1"/>
  <c r="C117" i="8"/>
  <c r="D117" i="8"/>
  <c r="C118" i="10" s="1"/>
  <c r="N113" i="8"/>
  <c r="N114" i="8"/>
  <c r="N115" i="8"/>
  <c r="N116" i="8"/>
  <c r="D119" i="10" l="1"/>
  <c r="P116" i="8"/>
  <c r="K116" i="8"/>
  <c r="J116" i="8"/>
  <c r="I116" i="8"/>
  <c r="C116" i="8" l="1"/>
  <c r="O116" i="8"/>
  <c r="R116" i="8" s="1"/>
  <c r="Q116" i="8"/>
  <c r="B5" i="3"/>
  <c r="B6" i="3"/>
  <c r="D116" i="8" l="1"/>
  <c r="C117" i="10" s="1"/>
  <c r="D118" i="10" s="1"/>
  <c r="I115" i="8"/>
  <c r="J115" i="8"/>
  <c r="K115" i="8"/>
  <c r="O115" i="8"/>
  <c r="R115" i="8" s="1"/>
  <c r="P115" i="8"/>
  <c r="Q115" i="8"/>
  <c r="N112" i="8"/>
  <c r="N111" i="8"/>
  <c r="N110" i="8"/>
  <c r="N109" i="8"/>
  <c r="N108" i="8"/>
  <c r="N107" i="8"/>
  <c r="N106" i="8"/>
  <c r="N105" i="8"/>
  <c r="N104" i="8"/>
  <c r="N103" i="8"/>
  <c r="C115" i="8" l="1"/>
  <c r="D115" i="8"/>
  <c r="Q114" i="8"/>
  <c r="P114" i="8"/>
  <c r="K114" i="8"/>
  <c r="J114" i="8"/>
  <c r="I114" i="8"/>
  <c r="O114" i="8"/>
  <c r="R114" i="8" s="1"/>
  <c r="C116" i="10" l="1"/>
  <c r="D117" i="10" s="1"/>
  <c r="D114" i="8"/>
  <c r="C114" i="8"/>
  <c r="J113" i="8"/>
  <c r="K113" i="8"/>
  <c r="Q113" i="8"/>
  <c r="C115" i="10" l="1"/>
  <c r="D116" i="10" s="1"/>
  <c r="I113" i="8"/>
  <c r="C113" i="8" s="1"/>
  <c r="O113" i="8"/>
  <c r="R113" i="8" s="1"/>
  <c r="P113" i="8"/>
  <c r="N102" i="8"/>
  <c r="D113" i="8" l="1"/>
  <c r="C114" i="10" s="1"/>
  <c r="D115" i="10" s="1"/>
  <c r="O112" i="8"/>
  <c r="K110" i="8"/>
  <c r="I112" i="8" l="1"/>
  <c r="J112" i="8"/>
  <c r="K112" i="8"/>
  <c r="R112" i="8"/>
  <c r="P112" i="8"/>
  <c r="Q112" i="8"/>
  <c r="Q111" i="8"/>
  <c r="C112" i="8" l="1"/>
  <c r="D112" i="8"/>
  <c r="K111" i="8"/>
  <c r="J111" i="8"/>
  <c r="I111" i="8"/>
  <c r="C113" i="10" l="1"/>
  <c r="D114" i="10" s="1"/>
  <c r="O111" i="8"/>
  <c r="R111" i="8" s="1"/>
  <c r="C111" i="8" l="1"/>
  <c r="P111" i="8"/>
  <c r="D111" i="8" l="1"/>
  <c r="C112" i="10" s="1"/>
  <c r="D113" i="10" s="1"/>
  <c r="I110" i="8"/>
  <c r="J110" i="8"/>
  <c r="P110" i="8" l="1"/>
  <c r="O110" i="8" l="1"/>
  <c r="R110" i="8" l="1"/>
  <c r="Q110" i="8"/>
  <c r="F131" i="8"/>
  <c r="D110" i="8" l="1"/>
  <c r="C110" i="8"/>
  <c r="O109" i="8"/>
  <c r="R109" i="8" s="1"/>
  <c r="I109" i="8"/>
  <c r="J109" i="8"/>
  <c r="K109" i="8"/>
  <c r="Q109" i="8"/>
  <c r="P109" i="8"/>
  <c r="C111" i="10" l="1"/>
  <c r="D112" i="10" s="1"/>
  <c r="C109" i="8"/>
  <c r="D109" i="8"/>
  <c r="C110" i="10" l="1"/>
  <c r="D111" i="10" s="1"/>
  <c r="P108" i="8"/>
  <c r="O108" i="8"/>
  <c r="I108" i="8" l="1"/>
  <c r="J108" i="8"/>
  <c r="K108" i="8"/>
  <c r="R108" i="8"/>
  <c r="Q108" i="8"/>
  <c r="O107" i="8"/>
  <c r="D108" i="8" l="1"/>
  <c r="C108" i="8"/>
  <c r="I107" i="8"/>
  <c r="J107" i="8"/>
  <c r="K107" i="8"/>
  <c r="R107" i="8"/>
  <c r="P107" i="8"/>
  <c r="Q107" i="8"/>
  <c r="Q106" i="8"/>
  <c r="P106" i="8"/>
  <c r="K106" i="8"/>
  <c r="J106" i="8"/>
  <c r="I106" i="8"/>
  <c r="C109" i="10" l="1"/>
  <c r="D110" i="10" s="1"/>
  <c r="C107" i="8"/>
  <c r="D107" i="8"/>
  <c r="C106" i="8"/>
  <c r="C108" i="10" l="1"/>
  <c r="D109" i="10" s="1"/>
  <c r="O106" i="8"/>
  <c r="R106" i="8" s="1"/>
  <c r="D106" i="8" s="1"/>
  <c r="O105" i="8"/>
  <c r="C107" i="10" l="1"/>
  <c r="D108" i="10" s="1"/>
  <c r="O104" i="8"/>
  <c r="Q105" i="8" l="1"/>
  <c r="I105" i="8"/>
  <c r="J105" i="8"/>
  <c r="K105" i="8"/>
  <c r="R105" i="8"/>
  <c r="P105" i="8"/>
  <c r="P104" i="8"/>
  <c r="Q104" i="8"/>
  <c r="D105" i="8" l="1"/>
  <c r="C105" i="8"/>
  <c r="I104" i="8"/>
  <c r="J104" i="8"/>
  <c r="K104" i="8"/>
  <c r="C106" i="10" l="1"/>
  <c r="D107" i="10" s="1"/>
  <c r="C104" i="8"/>
  <c r="R104" i="8"/>
  <c r="D104" i="8" s="1"/>
  <c r="C105" i="10" s="1"/>
  <c r="D106" i="10" l="1"/>
  <c r="K103" i="8"/>
  <c r="I103" i="8"/>
  <c r="O102" i="8" l="1"/>
  <c r="O103" i="8"/>
  <c r="G3" i="3" l="1"/>
  <c r="J103" i="8"/>
  <c r="R103" i="8"/>
  <c r="P103" i="8"/>
  <c r="Q103" i="8"/>
  <c r="C103" i="8" l="1"/>
  <c r="D103" i="8"/>
  <c r="C104" i="10" l="1"/>
  <c r="D105" i="10" s="1"/>
  <c r="Q102" i="8"/>
  <c r="I102" i="8"/>
  <c r="J102" i="8"/>
  <c r="K102" i="8"/>
  <c r="R102" i="8"/>
  <c r="P102" i="8"/>
  <c r="C102" i="8" l="1"/>
  <c r="D102" i="8"/>
  <c r="C103" i="10" l="1"/>
  <c r="N101" i="8"/>
  <c r="Q101" i="8" s="1"/>
  <c r="K101" i="8"/>
  <c r="I101" i="8"/>
  <c r="J101" i="8"/>
  <c r="O101" i="8"/>
  <c r="R101" i="8" s="1"/>
  <c r="P101" i="8"/>
  <c r="D104" i="10" l="1"/>
  <c r="C101" i="8"/>
  <c r="D101" i="8"/>
  <c r="C102" i="10" l="1"/>
  <c r="D103" i="10" s="1"/>
  <c r="N100" i="8"/>
  <c r="Q100" i="8" s="1"/>
  <c r="I100" i="8"/>
  <c r="J100" i="8"/>
  <c r="K100" i="8"/>
  <c r="O100" i="8"/>
  <c r="R100" i="8" s="1"/>
  <c r="P100" i="8"/>
  <c r="D100" i="8" l="1"/>
  <c r="C100" i="8"/>
  <c r="C101" i="10" l="1"/>
  <c r="D102" i="10" s="1"/>
  <c r="N99" i="8"/>
  <c r="Q99" i="8" s="1"/>
  <c r="I99" i="8"/>
  <c r="J99" i="8"/>
  <c r="K99" i="8"/>
  <c r="O99" i="8"/>
  <c r="R99" i="8" s="1"/>
  <c r="P99" i="8"/>
  <c r="C99" i="8" l="1"/>
  <c r="D99" i="8"/>
  <c r="C100" i="10" l="1"/>
  <c r="D101" i="10" s="1"/>
  <c r="N98" i="8"/>
  <c r="Q98" i="8" s="1"/>
  <c r="P98" i="8"/>
  <c r="I98" i="8" l="1"/>
  <c r="J98" i="8"/>
  <c r="K98" i="8"/>
  <c r="C98" i="8" l="1"/>
  <c r="O98" i="8"/>
  <c r="R98" i="8" s="1"/>
  <c r="D98" i="8" s="1"/>
  <c r="N97" i="8"/>
  <c r="Q97" i="8" s="1"/>
  <c r="I97" i="8"/>
  <c r="J97" i="8"/>
  <c r="K97" i="8"/>
  <c r="O97" i="8"/>
  <c r="R97" i="8" s="1"/>
  <c r="P97" i="8"/>
  <c r="C99" i="10" l="1"/>
  <c r="D100" i="10" s="1"/>
  <c r="C97" i="8"/>
  <c r="D97" i="8"/>
  <c r="C98" i="10" l="1"/>
  <c r="D99" i="10" s="1"/>
  <c r="N96" i="8"/>
  <c r="Q96" i="8" s="1"/>
  <c r="I96" i="8"/>
  <c r="J96" i="8"/>
  <c r="K96" i="8"/>
  <c r="O96" i="8"/>
  <c r="R96" i="8" s="1"/>
  <c r="P96" i="8"/>
  <c r="C96" i="8" l="1"/>
  <c r="D96" i="8"/>
  <c r="C97" i="10" l="1"/>
  <c r="D98" i="10" s="1"/>
  <c r="P95" i="8"/>
  <c r="I95" i="8"/>
  <c r="J95" i="8"/>
  <c r="K95" i="8"/>
  <c r="N95" i="8"/>
  <c r="Q95" i="8" s="1"/>
  <c r="O95" i="8" l="1"/>
  <c r="R95" i="8" s="1"/>
  <c r="P94" i="8"/>
  <c r="I94" i="8"/>
  <c r="J94" i="8"/>
  <c r="K94" i="8"/>
  <c r="O94" i="8"/>
  <c r="R94" i="8" s="1"/>
  <c r="D95" i="8" l="1"/>
  <c r="C95" i="8"/>
  <c r="N94" i="8"/>
  <c r="Q94" i="8" s="1"/>
  <c r="C96" i="10" l="1"/>
  <c r="D97" i="10" s="1"/>
  <c r="C94" i="8"/>
  <c r="D94" i="8"/>
  <c r="I93" i="8"/>
  <c r="J93" i="8"/>
  <c r="K93" i="8"/>
  <c r="C95" i="10" l="1"/>
  <c r="D96" i="10" s="1"/>
  <c r="N93" i="8"/>
  <c r="Q93" i="8" s="1"/>
  <c r="O93" i="8"/>
  <c r="R93" i="8" s="1"/>
  <c r="P93" i="8"/>
  <c r="C93" i="8" l="1"/>
  <c r="D93" i="8"/>
  <c r="C94" i="10" l="1"/>
  <c r="D95" i="10" s="1"/>
  <c r="P92" i="8"/>
  <c r="K92" i="8"/>
  <c r="J92" i="8"/>
  <c r="I92" i="8"/>
  <c r="N92" i="8" l="1"/>
  <c r="Q92" i="8" s="1"/>
  <c r="O92" i="8" l="1"/>
  <c r="R92" i="8" s="1"/>
  <c r="C92" i="8" l="1"/>
  <c r="D92" i="8"/>
  <c r="C93" i="10" l="1"/>
  <c r="D94" i="10" s="1"/>
  <c r="N91" i="8" l="1"/>
  <c r="N90" i="8"/>
  <c r="P91" i="8" l="1"/>
  <c r="Q91" i="8"/>
  <c r="I91" i="8"/>
  <c r="J91" i="8"/>
  <c r="K91" i="8"/>
  <c r="O91" i="8"/>
  <c r="R91" i="8" s="1"/>
  <c r="C91" i="8" l="1"/>
  <c r="D91" i="8"/>
  <c r="F153" i="1"/>
  <c r="N153" i="1" s="1"/>
  <c r="Q153" i="1" s="1"/>
  <c r="G153" i="1"/>
  <c r="I153" i="1" s="1"/>
  <c r="L153" i="1"/>
  <c r="O153" i="1" s="1"/>
  <c r="M153" i="1"/>
  <c r="P153" i="1" s="1"/>
  <c r="P90" i="8"/>
  <c r="Q90" i="8"/>
  <c r="C92" i="10" l="1"/>
  <c r="D93" i="10" s="1"/>
  <c r="D153" i="1"/>
  <c r="J153" i="1"/>
  <c r="H153" i="1"/>
  <c r="C153" i="1" l="1"/>
  <c r="K90" i="8"/>
  <c r="I90" i="8"/>
  <c r="J90" i="8"/>
  <c r="O90" i="8"/>
  <c r="R90" i="8" s="1"/>
  <c r="D90" i="8" s="1"/>
  <c r="C90" i="8" l="1"/>
  <c r="F152" i="1"/>
  <c r="H152" i="1" s="1"/>
  <c r="G152" i="1"/>
  <c r="I152" i="1" s="1"/>
  <c r="L152" i="1"/>
  <c r="O152" i="1" s="1"/>
  <c r="C91" i="10" l="1"/>
  <c r="D92" i="10" s="1"/>
  <c r="J152" i="1"/>
  <c r="C152" i="1" s="1"/>
  <c r="N152" i="1"/>
  <c r="Q152" i="1" s="1"/>
  <c r="K89" i="8"/>
  <c r="K88" i="8"/>
  <c r="J88" i="8"/>
  <c r="J9" i="8"/>
  <c r="J10" i="8"/>
  <c r="J11" i="8"/>
  <c r="J12" i="8"/>
  <c r="J13" i="8"/>
  <c r="J14" i="8"/>
  <c r="J15" i="8"/>
  <c r="J16" i="8"/>
  <c r="J17" i="8"/>
  <c r="J18" i="8"/>
  <c r="J19" i="8"/>
  <c r="J20" i="8"/>
  <c r="J21" i="8"/>
  <c r="J22" i="8"/>
  <c r="J23" i="8"/>
  <c r="J24" i="8"/>
  <c r="J25" i="8"/>
  <c r="J26" i="8"/>
  <c r="J27" i="8"/>
  <c r="J28" i="8"/>
  <c r="J29" i="8"/>
  <c r="J30" i="8"/>
  <c r="J31" i="8"/>
  <c r="J32" i="8"/>
  <c r="J33" i="8"/>
  <c r="J34" i="8"/>
  <c r="J35" i="8"/>
  <c r="J36" i="8"/>
  <c r="J37"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9" i="8"/>
  <c r="N89" i="8" l="1"/>
  <c r="M152" i="1" s="1"/>
  <c r="P152" i="1" s="1"/>
  <c r="D152" i="1" s="1"/>
  <c r="P89" i="8" l="1"/>
  <c r="O89" i="8"/>
  <c r="R89" i="8" s="1"/>
  <c r="Q89" i="8"/>
  <c r="I89" i="8"/>
  <c r="P88" i="8"/>
  <c r="I88" i="8"/>
  <c r="C89" i="8" l="1"/>
  <c r="D89" i="8"/>
  <c r="F151" i="1"/>
  <c r="H151" i="1" s="1"/>
  <c r="G151" i="1"/>
  <c r="I151" i="1" s="1"/>
  <c r="L151" i="1"/>
  <c r="O151" i="1" s="1"/>
  <c r="C88" i="8"/>
  <c r="N88" i="8"/>
  <c r="Q88" i="8" s="1"/>
  <c r="M151" i="1" l="1"/>
  <c r="P151" i="1" s="1"/>
  <c r="C90" i="10"/>
  <c r="D91" i="10" s="1"/>
  <c r="N151" i="1"/>
  <c r="Q151" i="1" s="1"/>
  <c r="J151" i="1"/>
  <c r="C151" i="1" s="1"/>
  <c r="D151" i="1" l="1"/>
  <c r="O88" i="8"/>
  <c r="R88" i="8" s="1"/>
  <c r="D88" i="8" s="1"/>
  <c r="F150" i="1"/>
  <c r="H150" i="1" s="1"/>
  <c r="G150" i="1"/>
  <c r="I150" i="1" s="1"/>
  <c r="L150" i="1"/>
  <c r="O150" i="1" s="1"/>
  <c r="N87" i="8"/>
  <c r="Q87" i="8" s="1"/>
  <c r="C89" i="10" l="1"/>
  <c r="D90" i="10" s="1"/>
  <c r="M150" i="1"/>
  <c r="P150" i="1" s="1"/>
  <c r="J150" i="1"/>
  <c r="C150" i="1" s="1"/>
  <c r="N150" i="1"/>
  <c r="Q150" i="1" s="1"/>
  <c r="D150" i="1" l="1"/>
  <c r="P87" i="8"/>
  <c r="K87" i="8"/>
  <c r="I87" i="8"/>
  <c r="O87" i="8"/>
  <c r="R87" i="8" s="1"/>
  <c r="C87" i="8" l="1"/>
  <c r="D87" i="8"/>
  <c r="F149" i="1"/>
  <c r="H149" i="1" s="1"/>
  <c r="G149" i="1"/>
  <c r="I149" i="1" s="1"/>
  <c r="L149" i="1"/>
  <c r="O149" i="1" s="1"/>
  <c r="C88" i="10" l="1"/>
  <c r="D89" i="10" s="1"/>
  <c r="N149" i="1"/>
  <c r="Q149" i="1" s="1"/>
  <c r="J149" i="1"/>
  <c r="C149" i="1" s="1"/>
  <c r="N86" i="8" l="1"/>
  <c r="M149" i="1" s="1"/>
  <c r="P149" i="1" s="1"/>
  <c r="D149" i="1" s="1"/>
  <c r="Q86" i="8" l="1"/>
  <c r="K86" i="8"/>
  <c r="P86" i="8" l="1"/>
  <c r="I86" i="8"/>
  <c r="C86" i="8" s="1"/>
  <c r="O86" i="8"/>
  <c r="R86" i="8" s="1"/>
  <c r="G147" i="1"/>
  <c r="F147" i="1"/>
  <c r="G146" i="1"/>
  <c r="F146" i="1"/>
  <c r="G145" i="1"/>
  <c r="F145" i="1"/>
  <c r="G144" i="1"/>
  <c r="F144" i="1"/>
  <c r="G143" i="1"/>
  <c r="F143" i="1"/>
  <c r="G142" i="1"/>
  <c r="F142" i="1"/>
  <c r="G141" i="1"/>
  <c r="F141" i="1"/>
  <c r="L147" i="1"/>
  <c r="L146" i="1"/>
  <c r="L145" i="1"/>
  <c r="L144" i="1"/>
  <c r="L143" i="1"/>
  <c r="L142" i="1"/>
  <c r="L141" i="1"/>
  <c r="L148" i="1"/>
  <c r="G148" i="1"/>
  <c r="F148" i="1"/>
  <c r="D86" i="8" l="1"/>
  <c r="H148" i="1"/>
  <c r="I148" i="1"/>
  <c r="J148" i="1"/>
  <c r="N148" i="1"/>
  <c r="Q148" i="1" s="1"/>
  <c r="O148" i="1"/>
  <c r="N85" i="8"/>
  <c r="M148" i="1" s="1"/>
  <c r="P148" i="1" s="1"/>
  <c r="C87" i="10" l="1"/>
  <c r="D88" i="10" s="1"/>
  <c r="C148" i="1"/>
  <c r="D148" i="1"/>
  <c r="I85" i="8" l="1"/>
  <c r="K85" i="8"/>
  <c r="Q85" i="8"/>
  <c r="O85" i="8"/>
  <c r="R85" i="8" s="1"/>
  <c r="P85" i="8"/>
  <c r="C85" i="8" l="1"/>
  <c r="D85" i="8"/>
  <c r="H147" i="1"/>
  <c r="I147" i="1"/>
  <c r="J147" i="1"/>
  <c r="N147" i="1"/>
  <c r="Q147" i="1" s="1"/>
  <c r="O147" i="1"/>
  <c r="K84" i="8"/>
  <c r="N84" i="8"/>
  <c r="Q84" i="8" s="1"/>
  <c r="C86" i="10" l="1"/>
  <c r="M147" i="1"/>
  <c r="P147" i="1" s="1"/>
  <c r="D147" i="1" s="1"/>
  <c r="C147" i="1"/>
  <c r="D87" i="10" l="1"/>
  <c r="P84" i="8"/>
  <c r="I84" i="8"/>
  <c r="O84" i="8"/>
  <c r="R84" i="8" s="1"/>
  <c r="C38" i="3"/>
  <c r="C37" i="3" l="1"/>
  <c r="D38" i="3"/>
  <c r="E38" i="3"/>
  <c r="C84" i="8"/>
  <c r="D84" i="8"/>
  <c r="C36" i="3"/>
  <c r="C35" i="3" s="1"/>
  <c r="D33" i="10"/>
  <c r="D41" i="10"/>
  <c r="D49" i="10"/>
  <c r="C85" i="10" l="1"/>
  <c r="D25" i="10"/>
  <c r="D17" i="10"/>
  <c r="D37" i="3"/>
  <c r="D40" i="10"/>
  <c r="D32" i="10"/>
  <c r="D24" i="10"/>
  <c r="D16" i="10"/>
  <c r="D46" i="10"/>
  <c r="D38" i="10"/>
  <c r="D30" i="10"/>
  <c r="D22" i="10"/>
  <c r="D14" i="10"/>
  <c r="D31" i="10"/>
  <c r="D23" i="10"/>
  <c r="D15" i="10"/>
  <c r="D47" i="10"/>
  <c r="D51" i="10"/>
  <c r="D43" i="10"/>
  <c r="D35" i="10"/>
  <c r="D27" i="10"/>
  <c r="D19" i="10"/>
  <c r="D45" i="10"/>
  <c r="D37" i="10"/>
  <c r="D29" i="10"/>
  <c r="D21" i="10"/>
  <c r="D13" i="10"/>
  <c r="D50" i="10"/>
  <c r="D34" i="10"/>
  <c r="D26" i="10"/>
  <c r="D18" i="10"/>
  <c r="D36" i="3"/>
  <c r="C34" i="3"/>
  <c r="D42" i="10"/>
  <c r="D48" i="10"/>
  <c r="D39" i="10"/>
  <c r="D11" i="10"/>
  <c r="D44" i="10"/>
  <c r="D36" i="10"/>
  <c r="D28" i="10"/>
  <c r="D20" i="10"/>
  <c r="D12" i="10"/>
  <c r="N82" i="8"/>
  <c r="N83" i="8"/>
  <c r="N81" i="8"/>
  <c r="D86" i="10" l="1"/>
  <c r="E37" i="3"/>
  <c r="C33" i="3"/>
  <c r="H146" i="1"/>
  <c r="I146" i="1"/>
  <c r="J146" i="1"/>
  <c r="M146" i="1"/>
  <c r="P146" i="1" s="1"/>
  <c r="N146" i="1"/>
  <c r="Q146" i="1" s="1"/>
  <c r="O146" i="1"/>
  <c r="Q83" i="8"/>
  <c r="K83" i="8"/>
  <c r="C146" i="1" l="1"/>
  <c r="D146" i="1"/>
  <c r="P83" i="8" l="1"/>
  <c r="I83" i="8"/>
  <c r="O83" i="8"/>
  <c r="R83" i="8" s="1"/>
  <c r="M145" i="1"/>
  <c r="P145" i="1" s="1"/>
  <c r="H145" i="1"/>
  <c r="I145" i="1"/>
  <c r="J145" i="1"/>
  <c r="N145" i="1"/>
  <c r="Q145" i="1" s="1"/>
  <c r="O145" i="1"/>
  <c r="I82" i="8"/>
  <c r="K82" i="8"/>
  <c r="O82" i="8"/>
  <c r="R82" i="8" s="1"/>
  <c r="P82" i="8"/>
  <c r="Q82" i="8"/>
  <c r="C83" i="8" l="1"/>
  <c r="D83" i="8"/>
  <c r="C145" i="1"/>
  <c r="D145" i="1"/>
  <c r="D82" i="8"/>
  <c r="C82" i="8"/>
  <c r="C83" i="10" l="1"/>
  <c r="D34" i="3"/>
  <c r="C84" i="10"/>
  <c r="H144" i="1"/>
  <c r="I144" i="1"/>
  <c r="J144" i="1"/>
  <c r="N144" i="1"/>
  <c r="Q144" i="1" s="1"/>
  <c r="O144" i="1"/>
  <c r="M144" i="1"/>
  <c r="P144" i="1" s="1"/>
  <c r="D84" i="10" l="1"/>
  <c r="D35" i="3"/>
  <c r="D85" i="10"/>
  <c r="E36" i="3" s="1"/>
  <c r="C144" i="1"/>
  <c r="D144" i="1"/>
  <c r="I81" i="8"/>
  <c r="K81" i="8"/>
  <c r="Q81" i="8"/>
  <c r="O81" i="8"/>
  <c r="R81" i="8" s="1"/>
  <c r="P81" i="8"/>
  <c r="E35" i="3" l="1"/>
  <c r="C81" i="8"/>
  <c r="D81" i="8"/>
  <c r="N80" i="8"/>
  <c r="Q80" i="8" s="1"/>
  <c r="H143" i="1"/>
  <c r="I143" i="1"/>
  <c r="J143" i="1"/>
  <c r="N143" i="1"/>
  <c r="Q143" i="1" s="1"/>
  <c r="O143" i="1"/>
  <c r="N79" i="8"/>
  <c r="I80" i="8"/>
  <c r="K80" i="8"/>
  <c r="O80" i="8"/>
  <c r="R80" i="8" s="1"/>
  <c r="P80" i="8"/>
  <c r="M143" i="1" l="1"/>
  <c r="P143" i="1" s="1"/>
  <c r="D143" i="1" s="1"/>
  <c r="C82" i="10"/>
  <c r="C143" i="1"/>
  <c r="C80" i="8"/>
  <c r="D80" i="8"/>
  <c r="C81" i="10" l="1"/>
  <c r="D82" i="10" s="1"/>
  <c r="E33" i="3" s="1"/>
  <c r="D33" i="3"/>
  <c r="D83" i="10"/>
  <c r="E34" i="3" s="1"/>
  <c r="H142" i="1"/>
  <c r="I142" i="1"/>
  <c r="J142" i="1"/>
  <c r="M142" i="1"/>
  <c r="P142" i="1" s="1"/>
  <c r="N142" i="1"/>
  <c r="Q142" i="1" s="1"/>
  <c r="O142" i="1"/>
  <c r="C142" i="1" l="1"/>
  <c r="D142" i="1"/>
  <c r="Q79" i="8"/>
  <c r="K79" i="8"/>
  <c r="P79" i="8" l="1"/>
  <c r="I79" i="8"/>
  <c r="O79" i="8"/>
  <c r="R79" i="8" s="1"/>
  <c r="H141" i="1"/>
  <c r="I141" i="1"/>
  <c r="J141" i="1"/>
  <c r="N141" i="1"/>
  <c r="Q141" i="1" s="1"/>
  <c r="O141" i="1"/>
  <c r="N78" i="8"/>
  <c r="M141" i="1" s="1"/>
  <c r="P141" i="1" s="1"/>
  <c r="C79" i="8" l="1"/>
  <c r="D79" i="8"/>
  <c r="Q78" i="8"/>
  <c r="D141" i="1"/>
  <c r="C141" i="1"/>
  <c r="C80" i="10" l="1"/>
  <c r="D81" i="10" s="1"/>
  <c r="K78" i="8"/>
  <c r="K77" i="8"/>
  <c r="K76" i="8"/>
  <c r="P78" i="8" l="1"/>
  <c r="I78" i="8"/>
  <c r="O78" i="8"/>
  <c r="R78" i="8" s="1"/>
  <c r="C78" i="8" l="1"/>
  <c r="D78" i="8"/>
  <c r="P77" i="8"/>
  <c r="O77" i="8"/>
  <c r="C79" i="10" l="1"/>
  <c r="H140" i="1"/>
  <c r="I140" i="1"/>
  <c r="J140" i="1"/>
  <c r="N140" i="1"/>
  <c r="Q140" i="1" s="1"/>
  <c r="O140" i="1"/>
  <c r="N77" i="8"/>
  <c r="Q77" i="8" s="1"/>
  <c r="I77" i="8"/>
  <c r="R77" i="8"/>
  <c r="D80" i="10" l="1"/>
  <c r="M140" i="1"/>
  <c r="P140" i="1" s="1"/>
  <c r="D140" i="1" s="1"/>
  <c r="D77" i="8"/>
  <c r="C77" i="8"/>
  <c r="C140" i="1"/>
  <c r="C78" i="10" l="1"/>
  <c r="D79" i="10" s="1"/>
  <c r="M121" i="1"/>
  <c r="M122" i="1"/>
  <c r="M123" i="1"/>
  <c r="M124" i="1"/>
  <c r="N76" i="8"/>
  <c r="M139" i="1" s="1"/>
  <c r="Q76" i="8" l="1"/>
  <c r="H139" i="1"/>
  <c r="I139" i="1"/>
  <c r="J139" i="1"/>
  <c r="P139" i="1"/>
  <c r="N139" i="1"/>
  <c r="Q139" i="1" s="1"/>
  <c r="O139" i="1"/>
  <c r="C139" i="1" l="1"/>
  <c r="D139" i="1"/>
  <c r="P76" i="8"/>
  <c r="I76" i="8"/>
  <c r="C76" i="8" s="1"/>
  <c r="O76" i="8"/>
  <c r="R76" i="8" s="1"/>
  <c r="D76" i="8" l="1"/>
  <c r="N75" i="8"/>
  <c r="M138" i="1" s="1"/>
  <c r="C77" i="10" l="1"/>
  <c r="D78" i="10" s="1"/>
  <c r="H138" i="1"/>
  <c r="I138" i="1"/>
  <c r="J138" i="1"/>
  <c r="P138" i="1"/>
  <c r="N138" i="1"/>
  <c r="Q138" i="1" s="1"/>
  <c r="O138" i="1"/>
  <c r="I75" i="8"/>
  <c r="K75" i="8"/>
  <c r="Q75" i="8"/>
  <c r="O75" i="8"/>
  <c r="R75" i="8" s="1"/>
  <c r="P75" i="8"/>
  <c r="C138" i="1" l="1"/>
  <c r="D138" i="1"/>
  <c r="C75" i="8"/>
  <c r="D75" i="8"/>
  <c r="C76" i="10" l="1"/>
  <c r="D77" i="10" s="1"/>
  <c r="H137" i="1"/>
  <c r="I137" i="1"/>
  <c r="J137" i="1"/>
  <c r="N137" i="1"/>
  <c r="Q137" i="1" s="1"/>
  <c r="O137" i="1"/>
  <c r="H136" i="1"/>
  <c r="N74" i="8"/>
  <c r="M137" i="1" s="1"/>
  <c r="P137" i="1" s="1"/>
  <c r="C137" i="1" l="1"/>
  <c r="D137" i="1"/>
  <c r="I74" i="8"/>
  <c r="K74" i="8"/>
  <c r="O74" i="8"/>
  <c r="R74" i="8" s="1"/>
  <c r="P74" i="8"/>
  <c r="Q74" i="8"/>
  <c r="D74" i="8" l="1"/>
  <c r="C74" i="8"/>
  <c r="C75" i="10" l="1"/>
  <c r="D76" i="10" s="1"/>
  <c r="N73" i="8"/>
  <c r="M136" i="1" s="1"/>
  <c r="I136" i="1" l="1"/>
  <c r="J136" i="1"/>
  <c r="P136" i="1"/>
  <c r="N136" i="1"/>
  <c r="Q136" i="1" s="1"/>
  <c r="O136" i="1"/>
  <c r="D136" i="1" l="1"/>
  <c r="C136" i="1"/>
  <c r="P73" i="8"/>
  <c r="O73" i="8"/>
  <c r="R73" i="8" s="1"/>
  <c r="Q73" i="8"/>
  <c r="K73" i="8"/>
  <c r="I73" i="8"/>
  <c r="C73" i="8" l="1"/>
  <c r="D73" i="8"/>
  <c r="B10" i="3"/>
  <c r="C74" i="10" l="1"/>
  <c r="B11" i="3"/>
  <c r="G9" i="3"/>
  <c r="B12" i="3"/>
  <c r="D75" i="10" l="1"/>
  <c r="N72" i="8"/>
  <c r="M135" i="1" s="1"/>
  <c r="P135" i="1" s="1"/>
  <c r="O135" i="1"/>
  <c r="N135" i="1"/>
  <c r="Q135" i="1" s="1"/>
  <c r="J135" i="1"/>
  <c r="I135" i="1"/>
  <c r="H135" i="1"/>
  <c r="O134" i="1"/>
  <c r="N134" i="1"/>
  <c r="Q134" i="1" s="1"/>
  <c r="J134" i="1"/>
  <c r="I134" i="1"/>
  <c r="H134" i="1"/>
  <c r="H133" i="1"/>
  <c r="I133" i="1"/>
  <c r="J133" i="1"/>
  <c r="N133" i="1"/>
  <c r="Q133" i="1" s="1"/>
  <c r="O133" i="1"/>
  <c r="C135" i="1" l="1"/>
  <c r="C134" i="1"/>
  <c r="C133" i="1"/>
  <c r="D135" i="1"/>
  <c r="K72" i="8" l="1"/>
  <c r="E4" i="3" s="1"/>
  <c r="I72" i="8"/>
  <c r="C4" i="3" s="1"/>
  <c r="D4" i="3"/>
  <c r="Q72" i="8"/>
  <c r="D10" i="3" s="1"/>
  <c r="O72" i="8"/>
  <c r="R72" i="8" s="1"/>
  <c r="E10" i="3" s="1"/>
  <c r="P72" i="8"/>
  <c r="C10" i="3" s="1"/>
  <c r="C72" i="8" l="1"/>
  <c r="D72" i="8"/>
  <c r="F10" i="3" l="1"/>
  <c r="F4" i="3"/>
  <c r="C73" i="10"/>
  <c r="N70" i="8"/>
  <c r="M133" i="1" s="1"/>
  <c r="P133" i="1" s="1"/>
  <c r="D133" i="1" s="1"/>
  <c r="O70" i="8"/>
  <c r="K70" i="8"/>
  <c r="I70" i="8"/>
  <c r="K69" i="8"/>
  <c r="I69" i="8"/>
  <c r="K68" i="8"/>
  <c r="I68" i="8"/>
  <c r="K67" i="8"/>
  <c r="I67" i="8"/>
  <c r="K66" i="8"/>
  <c r="I66" i="8"/>
  <c r="K65" i="8"/>
  <c r="I65" i="8"/>
  <c r="K64" i="8"/>
  <c r="I64" i="8"/>
  <c r="K63" i="8"/>
  <c r="I63" i="8"/>
  <c r="K62" i="8"/>
  <c r="I62" i="8"/>
  <c r="K61" i="8"/>
  <c r="I61" i="8"/>
  <c r="K60" i="8"/>
  <c r="I60" i="8"/>
  <c r="K59" i="8"/>
  <c r="I59" i="8"/>
  <c r="K58" i="8"/>
  <c r="I58" i="8"/>
  <c r="K57" i="8"/>
  <c r="I57" i="8"/>
  <c r="K56" i="8"/>
  <c r="I56" i="8"/>
  <c r="K55" i="8"/>
  <c r="I55" i="8"/>
  <c r="K54" i="8"/>
  <c r="I54" i="8"/>
  <c r="K53" i="8"/>
  <c r="I53" i="8"/>
  <c r="K52" i="8"/>
  <c r="I52" i="8"/>
  <c r="K51" i="8"/>
  <c r="I51" i="8"/>
  <c r="K50" i="8"/>
  <c r="I50" i="8"/>
  <c r="K49" i="8"/>
  <c r="I49" i="8"/>
  <c r="K48" i="8"/>
  <c r="I48" i="8"/>
  <c r="K47" i="8"/>
  <c r="I47" i="8"/>
  <c r="K46" i="8"/>
  <c r="I46" i="8"/>
  <c r="K45" i="8"/>
  <c r="I45" i="8"/>
  <c r="K44" i="8"/>
  <c r="I44" i="8"/>
  <c r="K43" i="8"/>
  <c r="I43" i="8"/>
  <c r="K42" i="8"/>
  <c r="I42" i="8"/>
  <c r="K41" i="8"/>
  <c r="I41" i="8"/>
  <c r="K40" i="8"/>
  <c r="I40" i="8"/>
  <c r="K39" i="8"/>
  <c r="I39" i="8"/>
  <c r="K38" i="8"/>
  <c r="I38" i="8"/>
  <c r="K37" i="8"/>
  <c r="I37" i="8"/>
  <c r="K36" i="8"/>
  <c r="I36" i="8"/>
  <c r="K35" i="8"/>
  <c r="I35" i="8"/>
  <c r="K34" i="8"/>
  <c r="I34" i="8"/>
  <c r="K33" i="8"/>
  <c r="I33" i="8"/>
  <c r="K32" i="8"/>
  <c r="I32" i="8"/>
  <c r="K31" i="8"/>
  <c r="I31" i="8"/>
  <c r="K30" i="8"/>
  <c r="I30" i="8"/>
  <c r="K29" i="8"/>
  <c r="I29" i="8"/>
  <c r="K28" i="8"/>
  <c r="I28" i="8"/>
  <c r="K27" i="8"/>
  <c r="I27" i="8"/>
  <c r="K26" i="8"/>
  <c r="I26" i="8"/>
  <c r="K25" i="8"/>
  <c r="I25" i="8"/>
  <c r="K24" i="8"/>
  <c r="I24" i="8"/>
  <c r="K23" i="8"/>
  <c r="I23" i="8"/>
  <c r="K22" i="8"/>
  <c r="I22" i="8"/>
  <c r="K21" i="8"/>
  <c r="I21" i="8"/>
  <c r="K20" i="8"/>
  <c r="I20" i="8"/>
  <c r="K19" i="8"/>
  <c r="I19" i="8"/>
  <c r="K18" i="8"/>
  <c r="I18" i="8"/>
  <c r="K17" i="8"/>
  <c r="I17" i="8"/>
  <c r="K16" i="8"/>
  <c r="I16" i="8"/>
  <c r="K15" i="8"/>
  <c r="I15" i="8"/>
  <c r="K14" i="8"/>
  <c r="I14" i="8"/>
  <c r="K13" i="8"/>
  <c r="I13" i="8"/>
  <c r="K12" i="8"/>
  <c r="I12" i="8"/>
  <c r="K11" i="8"/>
  <c r="I11" i="8"/>
  <c r="K10" i="8"/>
  <c r="I10" i="8"/>
  <c r="K9" i="8"/>
  <c r="I9" i="8"/>
  <c r="P70" i="8"/>
  <c r="P69" i="8"/>
  <c r="P68" i="8"/>
  <c r="P67" i="8"/>
  <c r="P66" i="8"/>
  <c r="P65" i="8"/>
  <c r="P64" i="8"/>
  <c r="P63" i="8"/>
  <c r="P62" i="8"/>
  <c r="R61" i="8"/>
  <c r="Q61" i="8"/>
  <c r="P61" i="8"/>
  <c r="R60" i="8"/>
  <c r="Q60" i="8"/>
  <c r="P60" i="8"/>
  <c r="R59" i="8"/>
  <c r="Q59" i="8"/>
  <c r="P59" i="8"/>
  <c r="R58" i="8"/>
  <c r="Q58" i="8"/>
  <c r="P58" i="8"/>
  <c r="R57" i="8"/>
  <c r="Q57" i="8"/>
  <c r="P57" i="8"/>
  <c r="R56" i="8"/>
  <c r="Q56" i="8"/>
  <c r="P56" i="8"/>
  <c r="R55" i="8"/>
  <c r="Q55" i="8"/>
  <c r="P55" i="8"/>
  <c r="R54" i="8"/>
  <c r="Q54" i="8"/>
  <c r="P54" i="8"/>
  <c r="R53" i="8"/>
  <c r="Q53" i="8"/>
  <c r="P53" i="8"/>
  <c r="R52" i="8"/>
  <c r="Q52" i="8"/>
  <c r="P52" i="8"/>
  <c r="R51" i="8"/>
  <c r="Q51" i="8"/>
  <c r="P51" i="8"/>
  <c r="R50" i="8"/>
  <c r="Q50" i="8"/>
  <c r="P50" i="8"/>
  <c r="R49" i="8"/>
  <c r="Q49" i="8"/>
  <c r="P49" i="8"/>
  <c r="R48" i="8"/>
  <c r="Q48" i="8"/>
  <c r="P48" i="8"/>
  <c r="R47" i="8"/>
  <c r="Q47" i="8"/>
  <c r="P47" i="8"/>
  <c r="R46" i="8"/>
  <c r="Q46" i="8"/>
  <c r="P46" i="8"/>
  <c r="R45" i="8"/>
  <c r="Q45" i="8"/>
  <c r="P45" i="8"/>
  <c r="R44" i="8"/>
  <c r="Q44" i="8"/>
  <c r="P44" i="8"/>
  <c r="R43" i="8"/>
  <c r="Q43" i="8"/>
  <c r="P43" i="8"/>
  <c r="R42" i="8"/>
  <c r="Q42" i="8"/>
  <c r="P42" i="8"/>
  <c r="R41" i="8"/>
  <c r="Q41" i="8"/>
  <c r="P41" i="8"/>
  <c r="R40" i="8"/>
  <c r="Q40" i="8"/>
  <c r="P40" i="8"/>
  <c r="R39" i="8"/>
  <c r="Q39" i="8"/>
  <c r="P39" i="8"/>
  <c r="R38" i="8"/>
  <c r="Q38" i="8"/>
  <c r="P38" i="8"/>
  <c r="R37" i="8"/>
  <c r="Q37" i="8"/>
  <c r="P37" i="8"/>
  <c r="R36" i="8"/>
  <c r="Q36" i="8"/>
  <c r="P36" i="8"/>
  <c r="R35" i="8"/>
  <c r="Q35" i="8"/>
  <c r="P35" i="8"/>
  <c r="R34" i="8"/>
  <c r="Q34" i="8"/>
  <c r="P34" i="8"/>
  <c r="R33" i="8"/>
  <c r="Q33" i="8"/>
  <c r="P33" i="8"/>
  <c r="R32" i="8"/>
  <c r="Q32" i="8"/>
  <c r="P32" i="8"/>
  <c r="R31" i="8"/>
  <c r="Q31" i="8"/>
  <c r="P31" i="8"/>
  <c r="R30" i="8"/>
  <c r="Q30" i="8"/>
  <c r="P30" i="8"/>
  <c r="R29" i="8"/>
  <c r="Q29" i="8"/>
  <c r="P29" i="8"/>
  <c r="R28" i="8"/>
  <c r="Q28" i="8"/>
  <c r="P28" i="8"/>
  <c r="R27" i="8"/>
  <c r="Q27" i="8"/>
  <c r="P27" i="8"/>
  <c r="R26" i="8"/>
  <c r="Q26" i="8"/>
  <c r="P26" i="8"/>
  <c r="R25" i="8"/>
  <c r="Q25" i="8"/>
  <c r="P25" i="8"/>
  <c r="R24" i="8"/>
  <c r="Q24" i="8"/>
  <c r="P24" i="8"/>
  <c r="R23" i="8"/>
  <c r="Q23" i="8"/>
  <c r="P23" i="8"/>
  <c r="R22" i="8"/>
  <c r="Q22" i="8"/>
  <c r="P22" i="8"/>
  <c r="R21" i="8"/>
  <c r="Q21" i="8"/>
  <c r="P21" i="8"/>
  <c r="R20" i="8"/>
  <c r="Q20" i="8"/>
  <c r="P20" i="8"/>
  <c r="R19" i="8"/>
  <c r="Q19" i="8"/>
  <c r="P19" i="8"/>
  <c r="R18" i="8"/>
  <c r="Q18" i="8"/>
  <c r="P18" i="8"/>
  <c r="R17" i="8"/>
  <c r="Q17" i="8"/>
  <c r="P17" i="8"/>
  <c r="R16" i="8"/>
  <c r="Q16" i="8"/>
  <c r="P16" i="8"/>
  <c r="R15" i="8"/>
  <c r="Q15" i="8"/>
  <c r="P15" i="8"/>
  <c r="R14" i="8"/>
  <c r="Q14" i="8"/>
  <c r="P14" i="8"/>
  <c r="R13" i="8"/>
  <c r="Q13" i="8"/>
  <c r="P13" i="8"/>
  <c r="R12" i="8"/>
  <c r="Q12" i="8"/>
  <c r="P12" i="8"/>
  <c r="R11" i="8"/>
  <c r="Q11" i="8"/>
  <c r="P11" i="8"/>
  <c r="R10" i="8"/>
  <c r="Q10" i="8"/>
  <c r="P10" i="8"/>
  <c r="R9" i="8"/>
  <c r="Q9" i="8"/>
  <c r="P9" i="8"/>
  <c r="P71" i="8"/>
  <c r="C11" i="3" s="1"/>
  <c r="K71" i="8"/>
  <c r="E5" i="3" s="1"/>
  <c r="I71" i="8"/>
  <c r="C5" i="3" s="1"/>
  <c r="N71" i="8"/>
  <c r="D74" i="10" l="1"/>
  <c r="C12" i="3"/>
  <c r="Q70" i="8"/>
  <c r="C6" i="3"/>
  <c r="Q71" i="8"/>
  <c r="D11" i="3" s="1"/>
  <c r="M134" i="1"/>
  <c r="P134" i="1" s="1"/>
  <c r="D134" i="1" s="1"/>
  <c r="E6" i="3"/>
  <c r="O71" i="8"/>
  <c r="R71" i="8" s="1"/>
  <c r="E11" i="3" s="1"/>
  <c r="D5" i="3"/>
  <c r="D6" i="3" l="1"/>
  <c r="C71" i="8"/>
  <c r="D71" i="8"/>
  <c r="F11" i="3" l="1"/>
  <c r="G11" i="3" s="1"/>
  <c r="F5" i="3"/>
  <c r="G5" i="3" s="1"/>
  <c r="C72" i="10"/>
  <c r="N69" i="8"/>
  <c r="O69" i="8"/>
  <c r="R69" i="8" s="1"/>
  <c r="N68" i="8"/>
  <c r="O68" i="8"/>
  <c r="R68" i="8" s="1"/>
  <c r="N67" i="8"/>
  <c r="O67" i="8"/>
  <c r="R67" i="8" s="1"/>
  <c r="N66" i="8"/>
  <c r="O66" i="8"/>
  <c r="R66" i="8" s="1"/>
  <c r="E12" i="3" s="1"/>
  <c r="N65" i="8"/>
  <c r="O65" i="8"/>
  <c r="R65" i="8" s="1"/>
  <c r="N64" i="8"/>
  <c r="O64" i="8"/>
  <c r="R64" i="8" s="1"/>
  <c r="N63" i="8"/>
  <c r="O63" i="8"/>
  <c r="R63" i="8" s="1"/>
  <c r="N62" i="8"/>
  <c r="O62" i="8"/>
  <c r="R62" i="8" s="1"/>
  <c r="R70" i="8"/>
  <c r="K158" i="8"/>
  <c r="O132" i="1"/>
  <c r="I132" i="1"/>
  <c r="J132" i="1"/>
  <c r="H132" i="1"/>
  <c r="N132" i="1"/>
  <c r="Q132" i="1" s="1"/>
  <c r="H131" i="1"/>
  <c r="I131" i="1"/>
  <c r="J131" i="1"/>
  <c r="N131" i="1"/>
  <c r="Q131" i="1" s="1"/>
  <c r="O131" i="1"/>
  <c r="O130" i="1"/>
  <c r="I130" i="1"/>
  <c r="J130" i="1"/>
  <c r="H130" i="1"/>
  <c r="N130" i="1"/>
  <c r="Q130" i="1" s="1"/>
  <c r="H129" i="1"/>
  <c r="I129" i="1"/>
  <c r="J129" i="1"/>
  <c r="N129" i="1"/>
  <c r="Q129" i="1" s="1"/>
  <c r="O129" i="1"/>
  <c r="Q124" i="1"/>
  <c r="P124" i="1"/>
  <c r="Q123" i="1"/>
  <c r="P123" i="1"/>
  <c r="Q122" i="1"/>
  <c r="P122" i="1"/>
  <c r="D122" i="1" s="1"/>
  <c r="Q121" i="1"/>
  <c r="P121" i="1"/>
  <c r="Q120" i="1"/>
  <c r="P120" i="1"/>
  <c r="Q119" i="1"/>
  <c r="P119" i="1"/>
  <c r="Q118" i="1"/>
  <c r="P118" i="1"/>
  <c r="D118" i="1" s="1"/>
  <c r="Q117" i="1"/>
  <c r="P117" i="1"/>
  <c r="Q116" i="1"/>
  <c r="P116" i="1"/>
  <c r="Q115" i="1"/>
  <c r="P115" i="1"/>
  <c r="Q114" i="1"/>
  <c r="P114" i="1"/>
  <c r="D114" i="1" s="1"/>
  <c r="Q113" i="1"/>
  <c r="P113" i="1"/>
  <c r="Q112" i="1"/>
  <c r="P112" i="1"/>
  <c r="Q111" i="1"/>
  <c r="P111" i="1"/>
  <c r="Q110" i="1"/>
  <c r="P110" i="1"/>
  <c r="D110" i="1" s="1"/>
  <c r="Q109" i="1"/>
  <c r="P109" i="1"/>
  <c r="Q108" i="1"/>
  <c r="P108" i="1"/>
  <c r="Q107" i="1"/>
  <c r="P107" i="1"/>
  <c r="Q106" i="1"/>
  <c r="P106" i="1"/>
  <c r="D106" i="1" s="1"/>
  <c r="Q105" i="1"/>
  <c r="P105" i="1"/>
  <c r="Q104" i="1"/>
  <c r="P104" i="1"/>
  <c r="Q103" i="1"/>
  <c r="P103" i="1"/>
  <c r="Q102" i="1"/>
  <c r="P102" i="1"/>
  <c r="D102" i="1" s="1"/>
  <c r="Q101" i="1"/>
  <c r="P101" i="1"/>
  <c r="Q100" i="1"/>
  <c r="P100" i="1"/>
  <c r="Q99" i="1"/>
  <c r="P99" i="1"/>
  <c r="Q98" i="1"/>
  <c r="P98" i="1"/>
  <c r="D98" i="1" s="1"/>
  <c r="Q97" i="1"/>
  <c r="P97" i="1"/>
  <c r="Q96" i="1"/>
  <c r="P96" i="1"/>
  <c r="D96" i="1" s="1"/>
  <c r="Q95" i="1"/>
  <c r="P95" i="1"/>
  <c r="Q94" i="1"/>
  <c r="P94" i="1"/>
  <c r="D94" i="1" s="1"/>
  <c r="Q93" i="1"/>
  <c r="P93" i="1"/>
  <c r="Q92" i="1"/>
  <c r="P92" i="1"/>
  <c r="D92" i="1" s="1"/>
  <c r="Q91" i="1"/>
  <c r="P91" i="1"/>
  <c r="Q90" i="1"/>
  <c r="P90" i="1"/>
  <c r="D90" i="1" s="1"/>
  <c r="Q89" i="1"/>
  <c r="P89" i="1"/>
  <c r="Q88" i="1"/>
  <c r="P88" i="1"/>
  <c r="D88" i="1" s="1"/>
  <c r="Q87" i="1"/>
  <c r="P87" i="1"/>
  <c r="Q86" i="1"/>
  <c r="P86" i="1"/>
  <c r="D86" i="1" s="1"/>
  <c r="Q85" i="1"/>
  <c r="P85" i="1"/>
  <c r="Q84" i="1"/>
  <c r="P84" i="1"/>
  <c r="D84" i="1" s="1"/>
  <c r="Q83" i="1"/>
  <c r="P83" i="1"/>
  <c r="Q82" i="1"/>
  <c r="P82" i="1"/>
  <c r="D82" i="1" s="1"/>
  <c r="Q81" i="1"/>
  <c r="P81" i="1"/>
  <c r="Q80" i="1"/>
  <c r="P80" i="1"/>
  <c r="D80" i="1" s="1"/>
  <c r="Q79" i="1"/>
  <c r="P79" i="1"/>
  <c r="Q78" i="1"/>
  <c r="P78" i="1"/>
  <c r="D78" i="1" s="1"/>
  <c r="Q77" i="1"/>
  <c r="P77" i="1"/>
  <c r="Q76" i="1"/>
  <c r="P76" i="1"/>
  <c r="D76" i="1" s="1"/>
  <c r="Q75" i="1"/>
  <c r="P75" i="1"/>
  <c r="Q74" i="1"/>
  <c r="P74" i="1"/>
  <c r="D74" i="1" s="1"/>
  <c r="Q73" i="1"/>
  <c r="P73" i="1"/>
  <c r="Q72" i="1"/>
  <c r="P72" i="1"/>
  <c r="D72" i="1" s="1"/>
  <c r="Q71" i="1"/>
  <c r="P71" i="1"/>
  <c r="Q70" i="1"/>
  <c r="P70" i="1"/>
  <c r="D70" i="1" s="1"/>
  <c r="Q69" i="1"/>
  <c r="P69" i="1"/>
  <c r="Q68" i="1"/>
  <c r="P68" i="1"/>
  <c r="D68" i="1" s="1"/>
  <c r="Q67" i="1"/>
  <c r="P67" i="1"/>
  <c r="Q66" i="1"/>
  <c r="P66" i="1"/>
  <c r="D66" i="1" s="1"/>
  <c r="Q65" i="1"/>
  <c r="P65" i="1"/>
  <c r="Q64" i="1"/>
  <c r="P64" i="1"/>
  <c r="D64" i="1" s="1"/>
  <c r="Q63" i="1"/>
  <c r="P63" i="1"/>
  <c r="Q62" i="1"/>
  <c r="P62" i="1"/>
  <c r="D62" i="1" s="1"/>
  <c r="Q61" i="1"/>
  <c r="P61" i="1"/>
  <c r="Q60" i="1"/>
  <c r="P60" i="1"/>
  <c r="D60" i="1" s="1"/>
  <c r="Q59" i="1"/>
  <c r="P59" i="1"/>
  <c r="Q58" i="1"/>
  <c r="P58" i="1"/>
  <c r="D58" i="1" s="1"/>
  <c r="Q57" i="1"/>
  <c r="P57" i="1"/>
  <c r="Q56" i="1"/>
  <c r="P56" i="1"/>
  <c r="D56" i="1" s="1"/>
  <c r="Q55" i="1"/>
  <c r="P55" i="1"/>
  <c r="Q54" i="1"/>
  <c r="P54" i="1"/>
  <c r="D54" i="1" s="1"/>
  <c r="Q53" i="1"/>
  <c r="P53" i="1"/>
  <c r="Q52" i="1"/>
  <c r="P52" i="1"/>
  <c r="D52" i="1" s="1"/>
  <c r="Q51" i="1"/>
  <c r="P51" i="1"/>
  <c r="Q50" i="1"/>
  <c r="P50" i="1"/>
  <c r="D50" i="1" s="1"/>
  <c r="Q49" i="1"/>
  <c r="P49" i="1"/>
  <c r="Q48" i="1"/>
  <c r="P48" i="1"/>
  <c r="D48" i="1" s="1"/>
  <c r="Q47" i="1"/>
  <c r="P47" i="1"/>
  <c r="Q46" i="1"/>
  <c r="P46" i="1"/>
  <c r="D46" i="1" s="1"/>
  <c r="Q45" i="1"/>
  <c r="P45" i="1"/>
  <c r="Q44" i="1"/>
  <c r="P44" i="1"/>
  <c r="D44" i="1" s="1"/>
  <c r="Q43" i="1"/>
  <c r="P43" i="1"/>
  <c r="Q42" i="1"/>
  <c r="P42" i="1"/>
  <c r="D42" i="1" s="1"/>
  <c r="Q41" i="1"/>
  <c r="P41" i="1"/>
  <c r="Q40" i="1"/>
  <c r="P40" i="1"/>
  <c r="D40" i="1" s="1"/>
  <c r="Q39" i="1"/>
  <c r="P39" i="1"/>
  <c r="Q38" i="1"/>
  <c r="P38" i="1"/>
  <c r="D38" i="1" s="1"/>
  <c r="Q37" i="1"/>
  <c r="P37" i="1"/>
  <c r="Q36" i="1"/>
  <c r="P36" i="1"/>
  <c r="D36" i="1" s="1"/>
  <c r="Q35" i="1"/>
  <c r="P35" i="1"/>
  <c r="Q34" i="1"/>
  <c r="P34" i="1"/>
  <c r="D34" i="1" s="1"/>
  <c r="Q33" i="1"/>
  <c r="P33" i="1"/>
  <c r="Q32" i="1"/>
  <c r="P32" i="1"/>
  <c r="Q31" i="1"/>
  <c r="P31" i="1"/>
  <c r="Q30" i="1"/>
  <c r="P30" i="1"/>
  <c r="D30" i="1" s="1"/>
  <c r="Q29" i="1"/>
  <c r="P29" i="1"/>
  <c r="Q28" i="1"/>
  <c r="P28" i="1"/>
  <c r="Q27" i="1"/>
  <c r="P27" i="1"/>
  <c r="Q26" i="1"/>
  <c r="P26" i="1"/>
  <c r="D26" i="1" s="1"/>
  <c r="Q25" i="1"/>
  <c r="P25" i="1"/>
  <c r="Q24" i="1"/>
  <c r="P24" i="1"/>
  <c r="Q23" i="1"/>
  <c r="P23" i="1"/>
  <c r="Q22" i="1"/>
  <c r="P22" i="1"/>
  <c r="D22" i="1" s="1"/>
  <c r="Q21" i="1"/>
  <c r="P21" i="1"/>
  <c r="Q20" i="1"/>
  <c r="P20" i="1"/>
  <c r="Q19" i="1"/>
  <c r="P19" i="1"/>
  <c r="Q18" i="1"/>
  <c r="P18" i="1"/>
  <c r="D18" i="1" s="1"/>
  <c r="Q17" i="1"/>
  <c r="P17" i="1"/>
  <c r="Q16" i="1"/>
  <c r="P16" i="1"/>
  <c r="Q15" i="1"/>
  <c r="P15" i="1"/>
  <c r="Q14" i="1"/>
  <c r="P14" i="1"/>
  <c r="D14" i="1" s="1"/>
  <c r="Q13" i="1"/>
  <c r="P13" i="1"/>
  <c r="Q12" i="1"/>
  <c r="P12" i="1"/>
  <c r="Q11" i="1"/>
  <c r="P11" i="1"/>
  <c r="Q10" i="1"/>
  <c r="P10" i="1"/>
  <c r="D10" i="1" s="1"/>
  <c r="Q9" i="1"/>
  <c r="P9" i="1"/>
  <c r="H9" i="1"/>
  <c r="I9" i="1"/>
  <c r="J9" i="1"/>
  <c r="H10" i="1"/>
  <c r="I10" i="1"/>
  <c r="J10" i="1"/>
  <c r="H11" i="1"/>
  <c r="I11" i="1"/>
  <c r="J11" i="1"/>
  <c r="H12" i="1"/>
  <c r="I12" i="1"/>
  <c r="J12" i="1"/>
  <c r="H13" i="1"/>
  <c r="I13" i="1"/>
  <c r="J13" i="1"/>
  <c r="H14" i="1"/>
  <c r="I14" i="1"/>
  <c r="J14" i="1"/>
  <c r="H15" i="1"/>
  <c r="I15" i="1"/>
  <c r="J15" i="1"/>
  <c r="H16" i="1"/>
  <c r="I16" i="1"/>
  <c r="J16" i="1"/>
  <c r="H17" i="1"/>
  <c r="I17" i="1"/>
  <c r="J17" i="1"/>
  <c r="H18" i="1"/>
  <c r="I18" i="1"/>
  <c r="J18" i="1"/>
  <c r="H19" i="1"/>
  <c r="I19" i="1"/>
  <c r="J19" i="1"/>
  <c r="H20" i="1"/>
  <c r="I20" i="1"/>
  <c r="J20" i="1"/>
  <c r="H21" i="1"/>
  <c r="I21" i="1"/>
  <c r="J21" i="1"/>
  <c r="H22" i="1"/>
  <c r="I22" i="1"/>
  <c r="J22" i="1"/>
  <c r="H23" i="1"/>
  <c r="I23" i="1"/>
  <c r="J23" i="1"/>
  <c r="H24" i="1"/>
  <c r="I24" i="1"/>
  <c r="J24" i="1"/>
  <c r="H25" i="1"/>
  <c r="I25" i="1"/>
  <c r="J25" i="1"/>
  <c r="H26" i="1"/>
  <c r="I26" i="1"/>
  <c r="J26" i="1"/>
  <c r="H27" i="1"/>
  <c r="I27" i="1"/>
  <c r="J27" i="1"/>
  <c r="H28" i="1"/>
  <c r="I28" i="1"/>
  <c r="J28" i="1"/>
  <c r="H29" i="1"/>
  <c r="I29" i="1"/>
  <c r="J29" i="1"/>
  <c r="H30" i="1"/>
  <c r="I30" i="1"/>
  <c r="J30" i="1"/>
  <c r="H31" i="1"/>
  <c r="I31" i="1"/>
  <c r="J31" i="1"/>
  <c r="H32" i="1"/>
  <c r="I32" i="1"/>
  <c r="J32" i="1"/>
  <c r="H33" i="1"/>
  <c r="I33" i="1"/>
  <c r="J33" i="1"/>
  <c r="H34" i="1"/>
  <c r="I34" i="1"/>
  <c r="J34" i="1"/>
  <c r="H35" i="1"/>
  <c r="I35" i="1"/>
  <c r="J35" i="1"/>
  <c r="H36" i="1"/>
  <c r="I36" i="1"/>
  <c r="J36" i="1"/>
  <c r="H37" i="1"/>
  <c r="I37" i="1"/>
  <c r="J37" i="1"/>
  <c r="H38" i="1"/>
  <c r="I38" i="1"/>
  <c r="J38" i="1"/>
  <c r="H39" i="1"/>
  <c r="I39" i="1"/>
  <c r="J39" i="1"/>
  <c r="H40" i="1"/>
  <c r="I40" i="1"/>
  <c r="J40" i="1"/>
  <c r="H41" i="1"/>
  <c r="I41" i="1"/>
  <c r="J41" i="1"/>
  <c r="H42" i="1"/>
  <c r="I42" i="1"/>
  <c r="J42" i="1"/>
  <c r="H43" i="1"/>
  <c r="I43" i="1"/>
  <c r="J43" i="1"/>
  <c r="H44" i="1"/>
  <c r="I44" i="1"/>
  <c r="J44" i="1"/>
  <c r="H45" i="1"/>
  <c r="I45" i="1"/>
  <c r="J45" i="1"/>
  <c r="H46" i="1"/>
  <c r="I46" i="1"/>
  <c r="J46" i="1"/>
  <c r="H47" i="1"/>
  <c r="I47" i="1"/>
  <c r="J47" i="1"/>
  <c r="H48" i="1"/>
  <c r="I48" i="1"/>
  <c r="J48" i="1"/>
  <c r="H49" i="1"/>
  <c r="I49" i="1"/>
  <c r="J49" i="1"/>
  <c r="H50" i="1"/>
  <c r="I50" i="1"/>
  <c r="J50" i="1"/>
  <c r="H51" i="1"/>
  <c r="I51" i="1"/>
  <c r="J51" i="1"/>
  <c r="H52" i="1"/>
  <c r="I52" i="1"/>
  <c r="J52" i="1"/>
  <c r="H53" i="1"/>
  <c r="I53" i="1"/>
  <c r="J53" i="1"/>
  <c r="H54" i="1"/>
  <c r="I54" i="1"/>
  <c r="J54" i="1"/>
  <c r="H55" i="1"/>
  <c r="I55" i="1"/>
  <c r="J55" i="1"/>
  <c r="H56" i="1"/>
  <c r="I56" i="1"/>
  <c r="J56" i="1"/>
  <c r="H57" i="1"/>
  <c r="I57" i="1"/>
  <c r="J57" i="1"/>
  <c r="H58" i="1"/>
  <c r="I58" i="1"/>
  <c r="J58" i="1"/>
  <c r="H59" i="1"/>
  <c r="I59" i="1"/>
  <c r="J59" i="1"/>
  <c r="H60" i="1"/>
  <c r="I60" i="1"/>
  <c r="J60" i="1"/>
  <c r="H61" i="1"/>
  <c r="I61" i="1"/>
  <c r="J61" i="1"/>
  <c r="H62" i="1"/>
  <c r="I62" i="1"/>
  <c r="J62" i="1"/>
  <c r="H63" i="1"/>
  <c r="I63" i="1"/>
  <c r="J63" i="1"/>
  <c r="H64" i="1"/>
  <c r="I64" i="1"/>
  <c r="J64" i="1"/>
  <c r="H65" i="1"/>
  <c r="I65" i="1"/>
  <c r="J65" i="1"/>
  <c r="H66" i="1"/>
  <c r="I66" i="1"/>
  <c r="J66" i="1"/>
  <c r="H67" i="1"/>
  <c r="I67" i="1"/>
  <c r="J67" i="1"/>
  <c r="H68" i="1"/>
  <c r="I68" i="1"/>
  <c r="J68" i="1"/>
  <c r="H69" i="1"/>
  <c r="I69" i="1"/>
  <c r="J69" i="1"/>
  <c r="H70" i="1"/>
  <c r="I70" i="1"/>
  <c r="J70" i="1"/>
  <c r="H71" i="1"/>
  <c r="I71" i="1"/>
  <c r="J71" i="1"/>
  <c r="H72" i="1"/>
  <c r="I72" i="1"/>
  <c r="J72" i="1"/>
  <c r="H73" i="1"/>
  <c r="I73" i="1"/>
  <c r="J73" i="1"/>
  <c r="H74" i="1"/>
  <c r="I74" i="1"/>
  <c r="J74" i="1"/>
  <c r="H75" i="1"/>
  <c r="I75" i="1"/>
  <c r="J75" i="1"/>
  <c r="H76" i="1"/>
  <c r="I76" i="1"/>
  <c r="J76" i="1"/>
  <c r="H77" i="1"/>
  <c r="I77" i="1"/>
  <c r="J77" i="1"/>
  <c r="H78" i="1"/>
  <c r="I78" i="1"/>
  <c r="J78" i="1"/>
  <c r="H79" i="1"/>
  <c r="I79" i="1"/>
  <c r="J79" i="1"/>
  <c r="H80" i="1"/>
  <c r="I80" i="1"/>
  <c r="J80" i="1"/>
  <c r="H81" i="1"/>
  <c r="I81" i="1"/>
  <c r="J81" i="1"/>
  <c r="H82" i="1"/>
  <c r="I82" i="1"/>
  <c r="J82" i="1"/>
  <c r="H83" i="1"/>
  <c r="I83" i="1"/>
  <c r="J83" i="1"/>
  <c r="H84" i="1"/>
  <c r="I84" i="1"/>
  <c r="J84" i="1"/>
  <c r="H85" i="1"/>
  <c r="I85" i="1"/>
  <c r="J85" i="1"/>
  <c r="H86" i="1"/>
  <c r="I86" i="1"/>
  <c r="J86" i="1"/>
  <c r="H87" i="1"/>
  <c r="I87" i="1"/>
  <c r="J87" i="1"/>
  <c r="H88" i="1"/>
  <c r="I88" i="1"/>
  <c r="J88" i="1"/>
  <c r="H89" i="1"/>
  <c r="I89" i="1"/>
  <c r="J89" i="1"/>
  <c r="H90" i="1"/>
  <c r="I90" i="1"/>
  <c r="J90" i="1"/>
  <c r="H91" i="1"/>
  <c r="I91" i="1"/>
  <c r="J91" i="1"/>
  <c r="H92" i="1"/>
  <c r="I92" i="1"/>
  <c r="J92" i="1"/>
  <c r="H93" i="1"/>
  <c r="I93" i="1"/>
  <c r="J93" i="1"/>
  <c r="H94" i="1"/>
  <c r="I94" i="1"/>
  <c r="J94" i="1"/>
  <c r="H95" i="1"/>
  <c r="I95" i="1"/>
  <c r="J95" i="1"/>
  <c r="H96" i="1"/>
  <c r="I96" i="1"/>
  <c r="J96" i="1"/>
  <c r="H97" i="1"/>
  <c r="I97" i="1"/>
  <c r="J97" i="1"/>
  <c r="H98" i="1"/>
  <c r="I98" i="1"/>
  <c r="J98" i="1"/>
  <c r="H99" i="1"/>
  <c r="I99" i="1"/>
  <c r="J99" i="1"/>
  <c r="H100" i="1"/>
  <c r="I100" i="1"/>
  <c r="J100" i="1"/>
  <c r="H101" i="1"/>
  <c r="I101" i="1"/>
  <c r="J101" i="1"/>
  <c r="H102" i="1"/>
  <c r="I102" i="1"/>
  <c r="J102" i="1"/>
  <c r="H103" i="1"/>
  <c r="I103" i="1"/>
  <c r="J103" i="1"/>
  <c r="H104" i="1"/>
  <c r="I104" i="1"/>
  <c r="J104" i="1"/>
  <c r="H105" i="1"/>
  <c r="I105" i="1"/>
  <c r="J105" i="1"/>
  <c r="H106" i="1"/>
  <c r="I106" i="1"/>
  <c r="J106" i="1"/>
  <c r="H107" i="1"/>
  <c r="I107" i="1"/>
  <c r="J107" i="1"/>
  <c r="H108" i="1"/>
  <c r="I108" i="1"/>
  <c r="J108" i="1"/>
  <c r="H109" i="1"/>
  <c r="I109" i="1"/>
  <c r="J109" i="1"/>
  <c r="H110" i="1"/>
  <c r="I110" i="1"/>
  <c r="J110" i="1"/>
  <c r="H111" i="1"/>
  <c r="I111" i="1"/>
  <c r="J111" i="1"/>
  <c r="H112" i="1"/>
  <c r="I112" i="1"/>
  <c r="J112" i="1"/>
  <c r="H113" i="1"/>
  <c r="I113" i="1"/>
  <c r="J113" i="1"/>
  <c r="H114" i="1"/>
  <c r="I114" i="1"/>
  <c r="J114" i="1"/>
  <c r="H115" i="1"/>
  <c r="I115" i="1"/>
  <c r="J115" i="1"/>
  <c r="H116" i="1"/>
  <c r="I116" i="1"/>
  <c r="J116" i="1"/>
  <c r="H117" i="1"/>
  <c r="I117" i="1"/>
  <c r="J117" i="1"/>
  <c r="H118" i="1"/>
  <c r="I118" i="1"/>
  <c r="J118" i="1"/>
  <c r="H119" i="1"/>
  <c r="I119" i="1"/>
  <c r="J119" i="1"/>
  <c r="H120" i="1"/>
  <c r="I120" i="1"/>
  <c r="J120" i="1"/>
  <c r="H121" i="1"/>
  <c r="I121" i="1"/>
  <c r="J121" i="1"/>
  <c r="H122" i="1"/>
  <c r="I122" i="1"/>
  <c r="J122" i="1"/>
  <c r="H123" i="1"/>
  <c r="I123" i="1"/>
  <c r="J123" i="1"/>
  <c r="H124" i="1"/>
  <c r="I124" i="1"/>
  <c r="J124" i="1"/>
  <c r="H125" i="1"/>
  <c r="I125" i="1"/>
  <c r="J125" i="1"/>
  <c r="H126" i="1"/>
  <c r="I126" i="1"/>
  <c r="J126" i="1"/>
  <c r="H127" i="1"/>
  <c r="I127" i="1"/>
  <c r="J127" i="1"/>
  <c r="H128" i="1"/>
  <c r="I128" i="1"/>
  <c r="J128" i="1"/>
  <c r="N128" i="1"/>
  <c r="Q128" i="1" s="1"/>
  <c r="O128" i="1"/>
  <c r="N127" i="1"/>
  <c r="Q127" i="1" s="1"/>
  <c r="O127" i="1"/>
  <c r="N126" i="1"/>
  <c r="Q126" i="1" s="1"/>
  <c r="O126" i="1"/>
  <c r="O125" i="1"/>
  <c r="N125" i="1"/>
  <c r="Q125" i="1" s="1"/>
  <c r="B25" i="3"/>
  <c r="C25" i="3" s="1"/>
  <c r="B21" i="3"/>
  <c r="B20" i="3"/>
  <c r="E19" i="3"/>
  <c r="D19" i="3"/>
  <c r="G18" i="3"/>
  <c r="J182" i="1"/>
  <c r="C53" i="1" l="1"/>
  <c r="D100" i="1"/>
  <c r="D104" i="1"/>
  <c r="D108" i="1"/>
  <c r="D112" i="1"/>
  <c r="D116" i="1"/>
  <c r="D120" i="1"/>
  <c r="D73" i="10"/>
  <c r="D124" i="1"/>
  <c r="C27" i="1"/>
  <c r="C122" i="1"/>
  <c r="C21" i="3"/>
  <c r="C126" i="1"/>
  <c r="C85" i="1"/>
  <c r="C105" i="1"/>
  <c r="C97" i="1"/>
  <c r="C89" i="1"/>
  <c r="C81" i="1"/>
  <c r="C73" i="1"/>
  <c r="C65" i="1"/>
  <c r="C57" i="1"/>
  <c r="C49" i="1"/>
  <c r="C41" i="1"/>
  <c r="C33" i="1"/>
  <c r="C25" i="1"/>
  <c r="C17" i="1"/>
  <c r="C9" i="1"/>
  <c r="C93" i="1"/>
  <c r="C61" i="1"/>
  <c r="C114" i="1"/>
  <c r="C127" i="1"/>
  <c r="Q63" i="8"/>
  <c r="M126" i="1"/>
  <c r="P126" i="1" s="1"/>
  <c r="D126" i="1" s="1"/>
  <c r="Q67" i="8"/>
  <c r="M130" i="1"/>
  <c r="P130" i="1" s="1"/>
  <c r="D130" i="1" s="1"/>
  <c r="Q66" i="8"/>
  <c r="D12" i="3" s="1"/>
  <c r="M129" i="1"/>
  <c r="P129" i="1" s="1"/>
  <c r="D129" i="1" s="1"/>
  <c r="D12" i="1"/>
  <c r="D16" i="1"/>
  <c r="D20" i="1"/>
  <c r="D24" i="1"/>
  <c r="D28" i="1"/>
  <c r="D32" i="1"/>
  <c r="Q64" i="8"/>
  <c r="M127" i="1"/>
  <c r="P127" i="1" s="1"/>
  <c r="D127" i="1" s="1"/>
  <c r="Q68" i="8"/>
  <c r="M131" i="1"/>
  <c r="P131" i="1" s="1"/>
  <c r="D131" i="1" s="1"/>
  <c r="Q62" i="8"/>
  <c r="M125" i="1"/>
  <c r="P125" i="1" s="1"/>
  <c r="D125" i="1" s="1"/>
  <c r="C118" i="1"/>
  <c r="C110" i="1"/>
  <c r="D17" i="1"/>
  <c r="D109" i="1"/>
  <c r="C125" i="1"/>
  <c r="C101" i="1"/>
  <c r="C77" i="1"/>
  <c r="C69" i="1"/>
  <c r="C45" i="1"/>
  <c r="C37" i="1"/>
  <c r="C29" i="1"/>
  <c r="C21" i="1"/>
  <c r="C13" i="1"/>
  <c r="Q65" i="8"/>
  <c r="M128" i="1"/>
  <c r="P128" i="1" s="1"/>
  <c r="D128" i="1" s="1"/>
  <c r="Q69" i="8"/>
  <c r="M132" i="1"/>
  <c r="P132" i="1" s="1"/>
  <c r="D132" i="1" s="1"/>
  <c r="G24" i="3"/>
  <c r="E25" i="3"/>
  <c r="D20" i="3"/>
  <c r="F20" i="3"/>
  <c r="D57" i="1"/>
  <c r="D59" i="1"/>
  <c r="D61" i="1"/>
  <c r="D63" i="1"/>
  <c r="D65" i="1"/>
  <c r="D67" i="1"/>
  <c r="D69" i="1"/>
  <c r="D71" i="1"/>
  <c r="D73" i="1"/>
  <c r="D75" i="1"/>
  <c r="D77" i="1"/>
  <c r="D79" i="1"/>
  <c r="D81" i="1"/>
  <c r="D83" i="1"/>
  <c r="D85" i="1"/>
  <c r="D87" i="1"/>
  <c r="D89" i="1"/>
  <c r="D91" i="1"/>
  <c r="D93" i="1"/>
  <c r="D95" i="1"/>
  <c r="D97" i="1"/>
  <c r="D99" i="1"/>
  <c r="D101" i="1"/>
  <c r="D103" i="1"/>
  <c r="D105" i="1"/>
  <c r="D107" i="1"/>
  <c r="D111" i="1"/>
  <c r="D113" i="1"/>
  <c r="D115" i="1"/>
  <c r="D117" i="1"/>
  <c r="D119" i="1"/>
  <c r="D121" i="1"/>
  <c r="D123" i="1"/>
  <c r="C129" i="1"/>
  <c r="C131" i="1"/>
  <c r="C124" i="1"/>
  <c r="C119" i="1"/>
  <c r="C116" i="1"/>
  <c r="C107" i="1"/>
  <c r="C100" i="1"/>
  <c r="C99" i="1"/>
  <c r="C92" i="1"/>
  <c r="C87" i="1"/>
  <c r="C84" i="1"/>
  <c r="C83" i="1"/>
  <c r="C76" i="1"/>
  <c r="C71" i="1"/>
  <c r="C67" i="1"/>
  <c r="C63" i="1"/>
  <c r="C55" i="1"/>
  <c r="C51" i="1"/>
  <c r="C44" i="1"/>
  <c r="C43" i="1"/>
  <c r="C35" i="1"/>
  <c r="C19" i="1"/>
  <c r="C15" i="1"/>
  <c r="C11" i="1"/>
  <c r="D45" i="1"/>
  <c r="D49" i="1"/>
  <c r="D55" i="1"/>
  <c r="C123" i="1"/>
  <c r="C120" i="1"/>
  <c r="C115" i="1"/>
  <c r="C112" i="1"/>
  <c r="C111" i="1"/>
  <c r="C108" i="1"/>
  <c r="C103" i="1"/>
  <c r="C95" i="1"/>
  <c r="C91" i="1"/>
  <c r="C79" i="1"/>
  <c r="C75" i="1"/>
  <c r="C68" i="1"/>
  <c r="C60" i="1"/>
  <c r="C59" i="1"/>
  <c r="C52" i="1"/>
  <c r="C47" i="1"/>
  <c r="C39" i="1"/>
  <c r="C36" i="1"/>
  <c r="C31" i="1"/>
  <c r="C28" i="1"/>
  <c r="C23" i="1"/>
  <c r="C20" i="1"/>
  <c r="C12" i="1"/>
  <c r="D9" i="1"/>
  <c r="D11" i="1"/>
  <c r="D13" i="1"/>
  <c r="D15" i="1"/>
  <c r="D19" i="1"/>
  <c r="D21" i="1"/>
  <c r="D23" i="1"/>
  <c r="D25" i="1"/>
  <c r="D27" i="1"/>
  <c r="D29" i="1"/>
  <c r="D31" i="1"/>
  <c r="D33" i="1"/>
  <c r="D35" i="1"/>
  <c r="D37" i="1"/>
  <c r="D39" i="1"/>
  <c r="D41" i="1"/>
  <c r="D43" i="1"/>
  <c r="D47" i="1"/>
  <c r="D51" i="1"/>
  <c r="D53" i="1"/>
  <c r="B27" i="3"/>
  <c r="C27" i="3" s="1"/>
  <c r="B26" i="3"/>
  <c r="D26" i="3" s="1"/>
  <c r="C20" i="3"/>
  <c r="D21" i="3"/>
  <c r="E21" i="3"/>
  <c r="E20" i="3"/>
  <c r="F19" i="3"/>
  <c r="C19" i="3"/>
  <c r="C117" i="1"/>
  <c r="C109" i="1"/>
  <c r="C106" i="1"/>
  <c r="C98" i="1"/>
  <c r="C90" i="1"/>
  <c r="C82" i="1"/>
  <c r="C74" i="1"/>
  <c r="C66" i="1"/>
  <c r="C58" i="1"/>
  <c r="C50" i="1"/>
  <c r="C42" i="1"/>
  <c r="C34" i="1"/>
  <c r="C26" i="1"/>
  <c r="C18" i="1"/>
  <c r="C10" i="1"/>
  <c r="C132" i="1"/>
  <c r="C121" i="1"/>
  <c r="C113" i="1"/>
  <c r="C128" i="1"/>
  <c r="C104" i="1"/>
  <c r="C102" i="1"/>
  <c r="C96" i="1"/>
  <c r="C94" i="1"/>
  <c r="C88" i="1"/>
  <c r="C86" i="1"/>
  <c r="C80" i="1"/>
  <c r="C78" i="1"/>
  <c r="C72" i="1"/>
  <c r="C70" i="1"/>
  <c r="C64" i="1"/>
  <c r="C62" i="1"/>
  <c r="C56" i="1"/>
  <c r="C54" i="1"/>
  <c r="C48" i="1"/>
  <c r="C46" i="1"/>
  <c r="C40" i="1"/>
  <c r="C38" i="1"/>
  <c r="C32" i="1"/>
  <c r="C30" i="1"/>
  <c r="C24" i="1"/>
  <c r="C22" i="1"/>
  <c r="C16" i="1"/>
  <c r="C14" i="1"/>
  <c r="C130" i="1"/>
  <c r="D25" i="3"/>
  <c r="F21" i="3" l="1"/>
  <c r="G21" i="3" s="1"/>
  <c r="C26" i="3"/>
  <c r="F27" i="3"/>
  <c r="E27" i="3"/>
  <c r="D27" i="3"/>
  <c r="E26" i="3"/>
  <c r="G20" i="3"/>
  <c r="F25" i="3"/>
  <c r="F26" i="3"/>
  <c r="D70" i="8"/>
  <c r="D69" i="8"/>
  <c r="F28" i="3" l="1"/>
  <c r="G27" i="3"/>
  <c r="G26" i="3"/>
  <c r="D68" i="8"/>
  <c r="D67" i="8" l="1"/>
  <c r="D66" i="8" l="1"/>
  <c r="D65" i="8" l="1"/>
  <c r="D64" i="8" l="1"/>
  <c r="D63" i="8" l="1"/>
  <c r="D62" i="8" l="1"/>
  <c r="D61" i="8" l="1"/>
  <c r="D60" i="8" l="1"/>
  <c r="F12" i="3" l="1"/>
  <c r="G12" i="3" s="1"/>
  <c r="D59" i="8"/>
  <c r="D58" i="8" l="1"/>
  <c r="D57" i="8" l="1"/>
  <c r="D56" i="8" l="1"/>
  <c r="D55" i="8" l="1"/>
  <c r="D54" i="8" l="1"/>
  <c r="D53" i="8" l="1"/>
  <c r="D52" i="8" l="1"/>
  <c r="D51" i="8" l="1"/>
  <c r="D50" i="8" l="1"/>
  <c r="D49" i="8" l="1"/>
  <c r="D48" i="8" l="1"/>
  <c r="D47" i="8" l="1"/>
  <c r="D46" i="8" l="1"/>
  <c r="D45" i="8" l="1"/>
  <c r="D44" i="8" l="1"/>
  <c r="D43" i="8" l="1"/>
  <c r="D42" i="8" l="1"/>
  <c r="D41" i="8" l="1"/>
  <c r="D40" i="8" l="1"/>
  <c r="D39" i="8" l="1"/>
  <c r="D38" i="8" l="1"/>
  <c r="D37" i="8" l="1"/>
  <c r="D36" i="8" l="1"/>
  <c r="D35" i="8" l="1"/>
  <c r="D34" i="8" l="1"/>
  <c r="D33" i="8" l="1"/>
  <c r="D32" i="8" l="1"/>
  <c r="D31" i="8" l="1"/>
  <c r="D30" i="8" l="1"/>
  <c r="D29" i="8" l="1"/>
  <c r="D28" i="8" l="1"/>
  <c r="D27" i="8" l="1"/>
  <c r="D26" i="8" l="1"/>
  <c r="D25" i="8" l="1"/>
  <c r="D24" i="8" l="1"/>
  <c r="D23" i="8" l="1"/>
  <c r="D22" i="8" l="1"/>
  <c r="D21" i="8" l="1"/>
  <c r="D20" i="8" l="1"/>
  <c r="D19" i="8" l="1"/>
  <c r="D18" i="8" l="1"/>
  <c r="D17" i="8" l="1"/>
  <c r="D16" i="8" l="1"/>
  <c r="D15" i="8" l="1"/>
  <c r="D14" i="8" l="1"/>
  <c r="D13" i="8" l="1"/>
  <c r="D12" i="8" l="1"/>
  <c r="D11" i="8" l="1"/>
  <c r="D10" i="8" l="1"/>
  <c r="D9" i="8" l="1"/>
  <c r="C70" i="8" l="1"/>
  <c r="C71" i="10" l="1"/>
  <c r="D72" i="10" s="1"/>
  <c r="C69" i="8"/>
  <c r="C70" i="10" l="1"/>
  <c r="D71" i="10" s="1"/>
  <c r="C68" i="8"/>
  <c r="C69" i="10" l="1"/>
  <c r="D70" i="10" s="1"/>
  <c r="C67" i="8"/>
  <c r="C68" i="10" l="1"/>
  <c r="D69" i="10" s="1"/>
  <c r="C66" i="8"/>
  <c r="C67" i="10" l="1"/>
  <c r="D68" i="10" s="1"/>
  <c r="C65" i="8"/>
  <c r="C66" i="10" l="1"/>
  <c r="D67" i="10" s="1"/>
  <c r="C64" i="8"/>
  <c r="C65" i="10" l="1"/>
  <c r="D66" i="10" s="1"/>
  <c r="C63" i="8"/>
  <c r="C64" i="10" l="1"/>
  <c r="D65" i="10" s="1"/>
  <c r="C62" i="8"/>
  <c r="C63" i="10" l="1"/>
  <c r="D64" i="10" s="1"/>
  <c r="C61" i="8"/>
  <c r="C62" i="10" l="1"/>
  <c r="D63" i="10" s="1"/>
  <c r="C60" i="8"/>
  <c r="F6" i="3" l="1"/>
  <c r="G6" i="3" s="1"/>
  <c r="C61" i="10"/>
  <c r="C59" i="8"/>
  <c r="C60" i="10" l="1"/>
  <c r="D61" i="10" s="1"/>
  <c r="D62" i="10"/>
  <c r="C58" i="8"/>
  <c r="C59" i="10" l="1"/>
  <c r="D60" i="10" s="1"/>
  <c r="C57" i="8"/>
  <c r="C58" i="10" l="1"/>
  <c r="D59" i="10" s="1"/>
  <c r="C56" i="8"/>
  <c r="C57" i="10" l="1"/>
  <c r="D58" i="10" s="1"/>
  <c r="C55" i="8"/>
  <c r="C56" i="10" l="1"/>
  <c r="D57" i="10" s="1"/>
  <c r="C54" i="8"/>
  <c r="C55" i="10" l="1"/>
  <c r="D56" i="10" s="1"/>
  <c r="C53" i="8"/>
  <c r="C54" i="10" l="1"/>
  <c r="D55" i="10" s="1"/>
  <c r="C52" i="8"/>
  <c r="C53" i="10" l="1"/>
  <c r="D54" i="10" s="1"/>
  <c r="C51" i="8"/>
  <c r="C52" i="10" l="1"/>
  <c r="D52" i="10" s="1"/>
  <c r="C50" i="8"/>
  <c r="D53" i="10" l="1"/>
  <c r="C49" i="8"/>
  <c r="C48" i="8" l="1"/>
  <c r="C47" i="8" l="1"/>
  <c r="C46" i="8" l="1"/>
  <c r="C45" i="8" l="1"/>
  <c r="C44" i="8" l="1"/>
  <c r="C43" i="8" l="1"/>
  <c r="C42" i="8" l="1"/>
  <c r="C41" i="8" l="1"/>
  <c r="C40" i="8" l="1"/>
  <c r="C39" i="8" l="1"/>
  <c r="C38" i="8" l="1"/>
  <c r="C37" i="8" l="1"/>
  <c r="C36" i="8" l="1"/>
  <c r="C35" i="8" l="1"/>
  <c r="C34" i="8" l="1"/>
  <c r="C33" i="8" l="1"/>
  <c r="C32" i="8" l="1"/>
  <c r="C31" i="8" l="1"/>
  <c r="C30" i="8" l="1"/>
  <c r="C29" i="8" l="1"/>
  <c r="C28" i="8" l="1"/>
  <c r="C27" i="8" l="1"/>
  <c r="C26" i="8" l="1"/>
  <c r="C25" i="8" l="1"/>
  <c r="C24" i="8" l="1"/>
  <c r="C23" i="8" l="1"/>
  <c r="C22" i="8" l="1"/>
  <c r="C21" i="8" l="1"/>
  <c r="C20" i="8" l="1"/>
  <c r="C19" i="8" l="1"/>
  <c r="C18" i="8" l="1"/>
  <c r="C17" i="8" l="1"/>
  <c r="C16" i="8" l="1"/>
  <c r="C15" i="8" l="1"/>
  <c r="C14" i="8" l="1"/>
  <c r="C13" i="8" l="1"/>
  <c r="C12" i="8" l="1"/>
  <c r="C11" i="8" l="1"/>
  <c r="C10" i="8" l="1"/>
  <c r="C9" i="8"/>
</calcChain>
</file>

<file path=xl/sharedStrings.xml><?xml version="1.0" encoding="utf-8"?>
<sst xmlns="http://schemas.openxmlformats.org/spreadsheetml/2006/main" count="156" uniqueCount="65">
  <si>
    <t>Actual Milk Price Equivalent (AMPE) and Milk for Cheese Value Equivalent (MCVE)</t>
  </si>
  <si>
    <t>ppl</t>
  </si>
  <si>
    <t>Butter</t>
  </si>
  <si>
    <t>SMP</t>
  </si>
  <si>
    <t xml:space="preserve">Butter </t>
  </si>
  <si>
    <t>BMP</t>
  </si>
  <si>
    <t>£/t</t>
  </si>
  <si>
    <t>Mild Cheddar</t>
  </si>
  <si>
    <t>est. Whey butter</t>
  </si>
  <si>
    <t>Whey powder</t>
  </si>
  <si>
    <t>Change to</t>
  </si>
  <si>
    <t xml:space="preserve">Source: AHDB </t>
  </si>
  <si>
    <t>Disclaimer</t>
  </si>
  <si>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t>
  </si>
  <si>
    <t>Contact us</t>
  </si>
  <si>
    <t>Telephone</t>
  </si>
  <si>
    <t>024 7669 2051</t>
  </si>
  <si>
    <t>Email</t>
  </si>
  <si>
    <t>Website</t>
  </si>
  <si>
    <t>ahdb.org.uk</t>
  </si>
  <si>
    <t>For months where there has been a lack of an accurate, average price for mild Cheddar, MCVE has been calculated on the basis of indicative offer prices, rather than prices reflecting completed deals. In all cases, spot prices are used which do not include prices achieved on contracted sales (which typically make up the majority of cheese sales)</t>
  </si>
  <si>
    <t>Notes</t>
  </si>
  <si>
    <r>
      <rPr>
        <b/>
        <sz val="12"/>
        <color rgb="FF575756"/>
        <rFont val="Arial"/>
        <family val="2"/>
      </rPr>
      <t xml:space="preserve">Source: </t>
    </r>
    <r>
      <rPr>
        <sz val="12"/>
        <color rgb="FF575756"/>
        <rFont val="Arial"/>
        <family val="2"/>
      </rPr>
      <t>AHDB</t>
    </r>
  </si>
  <si>
    <t>Head office address</t>
  </si>
  <si>
    <t xml:space="preserve">mi@ahdb.org.uk  </t>
  </si>
  <si>
    <t>AMPE components</t>
  </si>
  <si>
    <t>MCVE components</t>
  </si>
  <si>
    <r>
      <rPr>
        <b/>
        <sz val="12"/>
        <color theme="1"/>
        <rFont val="Arial"/>
        <family val="2"/>
      </rPr>
      <t>Units:</t>
    </r>
    <r>
      <rPr>
        <sz val="12"/>
        <color theme="1"/>
        <rFont val="Arial"/>
        <family val="2"/>
      </rPr>
      <t xml:space="preserve"> ppl, £/t</t>
    </r>
  </si>
  <si>
    <t>AMPE-2014</t>
  </si>
  <si>
    <t>MCVE-2014</t>
  </si>
  <si>
    <t>Lactose</t>
  </si>
  <si>
    <t>AMPE-2014 components (ppl)</t>
  </si>
  <si>
    <t>MCVE-2014 components (ppl)</t>
  </si>
  <si>
    <t xml:space="preserve">AHDB launched an updated version of AMPE and MCVE in August 2020 following an internal review of the indicators. </t>
  </si>
  <si>
    <t>From November 2014, the whey powder price has been calculated from EU prices reported from USDA rather than DDB due to the closure of the DDB.</t>
  </si>
  <si>
    <t xml:space="preserve"> </t>
  </si>
  <si>
    <t>Milk Market Value (MMV)</t>
  </si>
  <si>
    <r>
      <rPr>
        <b/>
        <sz val="12"/>
        <color theme="1"/>
        <rFont val="Arial"/>
        <family val="2"/>
      </rPr>
      <t>Units:</t>
    </r>
    <r>
      <rPr>
        <sz val="12"/>
        <color theme="1"/>
        <rFont val="Arial"/>
        <family val="2"/>
      </rPr>
      <t xml:space="preserve"> ppl</t>
    </r>
  </si>
  <si>
    <t>MMV</t>
  </si>
  <si>
    <t>The Milk Market Value (MMV) is a weighted average of AMPE and MCVE on a 20:80 basis. This was found to be the best predictor of movements in farmgate prices based on historical data. The analysis was done excluding prices paid on retailer-aligned contracts. The impact of the adjustment of AMPE and MCVE following the 2020 review has been accounted for, and the model updated.</t>
  </si>
  <si>
    <r>
      <rPr>
        <b/>
        <sz val="12"/>
        <color rgb="FF575756"/>
        <rFont val="Arial"/>
        <family val="2"/>
      </rPr>
      <t xml:space="preserve">Source: </t>
    </r>
    <r>
      <rPr>
        <sz val="12"/>
        <color rgb="FF575756"/>
        <rFont val="Arial"/>
        <family val="2"/>
      </rPr>
      <t>AHDB, Defra</t>
    </r>
  </si>
  <si>
    <t>current</t>
  </si>
  <si>
    <t>change from prev month</t>
  </si>
  <si>
    <t>Milk market value</t>
  </si>
  <si>
    <t>m-o-m change</t>
  </si>
  <si>
    <t>AMPE</t>
  </si>
  <si>
    <t>MCVE</t>
  </si>
  <si>
    <t>AMPE components (ppl)</t>
  </si>
  <si>
    <t>MCVE components (ppl)</t>
  </si>
  <si>
    <t>Actual Milk Price Equivalent (AMPE) and Milk for Cheese Value Equivalent (MCVE) - Processing costs</t>
  </si>
  <si>
    <r>
      <rPr>
        <b/>
        <sz val="12"/>
        <color theme="1"/>
        <rFont val="Arial"/>
        <family val="2"/>
      </rPr>
      <t>Units:</t>
    </r>
    <r>
      <rPr>
        <sz val="12"/>
        <color theme="1"/>
        <rFont val="Arial"/>
        <family val="2"/>
      </rPr>
      <t xml:space="preserve"> £/t</t>
    </r>
  </si>
  <si>
    <t>AMPE processing costs</t>
  </si>
  <si>
    <t>MCVE processing costs</t>
  </si>
  <si>
    <t>*</t>
  </si>
  <si>
    <t>Notes: Processing costs were updated in 2020 and used for historic prices back to April 2015.</t>
  </si>
  <si>
    <t>From Dec-21 processing costs are being updated quarterly based on changes in the cost of labour, energy and general inflation.</t>
  </si>
  <si>
    <r>
      <rPr>
        <b/>
        <sz val="12"/>
        <color rgb="FF575756"/>
        <rFont val="Arial"/>
        <family val="2"/>
      </rPr>
      <t xml:space="preserve">Last updated: </t>
    </r>
    <r>
      <rPr>
        <sz val="12"/>
        <color rgb="FF575756"/>
        <rFont val="Arial"/>
        <family val="2"/>
      </rPr>
      <t>25/01/2022</t>
    </r>
  </si>
  <si>
    <t>NO LONGER UPDATED / PUBLISHED</t>
  </si>
  <si>
    <t>Notes: * Processing costs have been updated from each of the marked months, based on changes in the cost of labour, energy and general inflation. Costs will be updated quarterly while we go through the period of high inflation</t>
  </si>
  <si>
    <t>Agriculture and Horticulture Development Board 
Middlemarch Business Park 
Siskin Parkway East
Coventry
CV3 4PE</t>
  </si>
  <si>
    <t>Please note the published values for whey powder have been adjusted between February 2023 and January 2024 due to a revision in the EU product values. MCVE and MMV have been adjusted accordingly.  There is no change to AMPE</t>
  </si>
  <si>
    <t>©Agriculture and Horticulture Development Board 2025. All rights reserved.</t>
  </si>
  <si>
    <r>
      <rPr>
        <b/>
        <sz val="12"/>
        <color rgb="FF575756"/>
        <rFont val="Arial"/>
        <family val="2"/>
      </rPr>
      <t xml:space="preserve">Last updated: </t>
    </r>
    <r>
      <rPr>
        <sz val="12"/>
        <color rgb="FF575756"/>
        <rFont val="Arial"/>
        <family val="2"/>
      </rPr>
      <t>24/01/2025</t>
    </r>
  </si>
  <si>
    <r>
      <rPr>
        <b/>
        <sz val="12"/>
        <color rgb="FF575756"/>
        <rFont val="Arial"/>
        <family val="2"/>
      </rPr>
      <t xml:space="preserve">Last updated: </t>
    </r>
    <r>
      <rPr>
        <sz val="12"/>
        <color rgb="FF575756"/>
        <rFont val="Arial"/>
        <family val="2"/>
      </rPr>
      <t>25/03/2025</t>
    </r>
  </si>
  <si>
    <r>
      <rPr>
        <b/>
        <sz val="12"/>
        <color rgb="FF575756"/>
        <rFont val="Arial"/>
        <family val="2"/>
      </rPr>
      <t>Last updated:</t>
    </r>
    <r>
      <rPr>
        <sz val="12"/>
        <color rgb="FF575756"/>
        <rFont val="Arial"/>
        <family val="2"/>
      </rPr>
      <t xml:space="preserve"> 25/03/2025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</si>
</sst>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F400]h:mm:ss\ AM/PM"/>
    <numFmt numFmtId="165" formatCode="mmm\ yy"/>
    <numFmt numFmtId="166" formatCode="#,##0.0"/>
    <numFmt numFmtId="167" formatCode="0.0"/>
    <numFmt numFmtId="168" formatCode="0.0%"/>
  </numFmts>
  <fonts count="28" x14ac:knownFonts="1">
    <font>
      <sz val="10"/>
      <color theme="1"/>
      <name val="Calibri"/>
      <family val="2"/>
      <scheme val="minor"/>
    </font>
    <font>
      <sz val="12"/>
      <color theme="1"/>
      <name val="Arial"/>
      <family val="2"/>
    </font>
    <font>
      <sz val="12"/>
      <color theme="1"/>
      <name val="Arial"/>
      <family val="2"/>
    </font>
    <font>
      <sz val="11"/>
      <color theme="1"/>
      <name val="Calibri"/>
      <family val="2"/>
      <scheme val="minor"/>
    </font>
    <font>
      <sz val="10"/>
      <color theme="1"/>
      <name val="Calibri"/>
      <family val="2"/>
      <scheme val="minor"/>
    </font>
    <font>
      <b/>
      <sz val="10"/>
      <color theme="0"/>
      <name val="Calibri"/>
      <family val="2"/>
      <scheme val="minor"/>
    </font>
    <font>
      <u/>
      <sz val="10"/>
      <color theme="10"/>
      <name val="Calibri"/>
      <family val="2"/>
      <scheme val="minor"/>
    </font>
    <font>
      <sz val="10"/>
      <name val="Arial"/>
      <family val="2"/>
    </font>
    <font>
      <sz val="10"/>
      <color indexed="9"/>
      <name val="Arial"/>
      <family val="2"/>
    </font>
    <font>
      <u/>
      <sz val="10"/>
      <color indexed="12"/>
      <name val="Arial"/>
      <family val="2"/>
    </font>
    <font>
      <sz val="10"/>
      <color rgb="FF000000"/>
      <name val="Arial"/>
      <family val="2"/>
    </font>
    <font>
      <sz val="12"/>
      <color theme="1"/>
      <name val="Arial"/>
      <family val="2"/>
    </font>
    <font>
      <b/>
      <sz val="12"/>
      <color theme="4"/>
      <name val="Arial"/>
      <family val="2"/>
    </font>
    <font>
      <sz val="12"/>
      <color rgb="FF575756"/>
      <name val="Arial"/>
      <family val="2"/>
    </font>
    <font>
      <b/>
      <sz val="12"/>
      <color rgb="FF575756"/>
      <name val="Arial"/>
      <family val="2"/>
    </font>
    <font>
      <sz val="12"/>
      <color rgb="FF95C11F"/>
      <name val="Arial"/>
      <family val="2"/>
    </font>
    <font>
      <b/>
      <sz val="12"/>
      <color theme="1"/>
      <name val="Arial"/>
      <family val="2"/>
    </font>
    <font>
      <b/>
      <sz val="12"/>
      <color theme="0"/>
      <name val="Arial"/>
      <family val="2"/>
    </font>
    <font>
      <sz val="12"/>
      <color theme="0"/>
      <name val="Arial"/>
      <family val="2"/>
    </font>
    <font>
      <b/>
      <sz val="16"/>
      <color theme="4"/>
      <name val="Arial"/>
      <family val="2"/>
    </font>
    <font>
      <b/>
      <sz val="12"/>
      <color rgb="FF95C11F"/>
      <name val="Arial"/>
      <family val="2"/>
    </font>
    <font>
      <sz val="10"/>
      <color rgb="FF95C11F"/>
      <name val="Calibri Light"/>
      <family val="2"/>
      <scheme val="major"/>
    </font>
    <font>
      <sz val="12"/>
      <name val="Arial"/>
      <family val="2"/>
    </font>
    <font>
      <sz val="12"/>
      <color rgb="FF999999"/>
      <name val="Arial"/>
      <family val="2"/>
    </font>
    <font>
      <sz val="12"/>
      <color theme="10"/>
      <name val="Arial"/>
      <family val="2"/>
    </font>
    <font>
      <b/>
      <sz val="10"/>
      <name val="Arial"/>
      <family val="2"/>
    </font>
    <font>
      <sz val="10"/>
      <color rgb="FFFF0000"/>
      <name val="Arial"/>
      <family val="2"/>
    </font>
    <font>
      <sz val="12"/>
      <color rgb="FFFF0000"/>
      <name val="Arial"/>
      <family val="2"/>
    </font>
  </fonts>
  <fills count="13">
    <fill>
      <patternFill patternType="none"/>
    </fill>
    <fill>
      <patternFill patternType="gray125"/>
    </fill>
    <fill>
      <patternFill patternType="solid">
        <fgColor theme="4"/>
      </patternFill>
    </fill>
    <fill>
      <patternFill patternType="solid">
        <fgColor theme="0"/>
        <bgColor indexed="64"/>
      </patternFill>
    </fill>
    <fill>
      <patternFill patternType="solid">
        <fgColor rgb="FF61BAE8"/>
      </patternFill>
    </fill>
    <fill>
      <patternFill patternType="solid">
        <fgColor rgb="FF999999"/>
      </patternFill>
    </fill>
    <fill>
      <patternFill patternType="solid">
        <fgColor rgb="FFDFEFFB"/>
      </patternFill>
    </fill>
    <fill>
      <patternFill patternType="solid">
        <fgColor rgb="FFBBDDF5"/>
      </patternFill>
    </fill>
    <fill>
      <patternFill patternType="solid">
        <fgColor indexed="9"/>
        <bgColor indexed="64"/>
      </patternFill>
    </fill>
    <fill>
      <patternFill patternType="solid">
        <fgColor rgb="FFDFEFFB"/>
        <bgColor auto="1"/>
      </patternFill>
    </fill>
    <fill>
      <patternFill patternType="solid">
        <fgColor rgb="FFBBDDF5"/>
        <bgColor indexed="64"/>
      </patternFill>
    </fill>
    <fill>
      <patternFill patternType="solid">
        <fgColor rgb="FF0090D3"/>
        <bgColor indexed="64"/>
      </patternFill>
    </fill>
    <fill>
      <patternFill patternType="solid">
        <fgColor rgb="FF61BAE8"/>
        <bgColor indexed="64"/>
      </patternFill>
    </fill>
  </fills>
  <borders count="14">
    <border>
      <left/>
      <right/>
      <top/>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top/>
      <bottom/>
      <diagonal/>
    </border>
    <border>
      <left/>
      <right/>
      <top style="medium">
        <color rgb="FF0082CA"/>
      </top>
      <bottom/>
      <diagonal/>
    </border>
    <border>
      <left/>
      <right/>
      <top style="medium">
        <color rgb="FF0090D4"/>
      </top>
      <bottom/>
      <diagonal/>
    </border>
    <border>
      <left/>
      <right/>
      <top/>
      <bottom style="medium">
        <color theme="4"/>
      </bottom>
      <diagonal/>
    </border>
    <border>
      <left style="thin">
        <color theme="0"/>
      </left>
      <right/>
      <top style="thin">
        <color theme="0"/>
      </top>
      <bottom/>
      <diagonal/>
    </border>
  </borders>
  <cellStyleXfs count="15">
    <xf numFmtId="4" fontId="0" fillId="0" borderId="0">
      <alignment horizontal="left" vertical="top"/>
    </xf>
    <xf numFmtId="9" fontId="3" fillId="0" borderId="0" applyFont="0" applyFill="0" applyBorder="0" applyAlignment="0" applyProtection="0"/>
    <xf numFmtId="0" fontId="4" fillId="0" borderId="0" applyNumberFormat="0" applyFill="0" applyProtection="0">
      <alignment horizontal="left"/>
    </xf>
    <xf numFmtId="0" fontId="5" fillId="2" borderId="1" applyProtection="0">
      <alignment horizontal="center" vertical="center"/>
    </xf>
    <xf numFmtId="4" fontId="4" fillId="6" borderId="1" applyProtection="0">
      <alignment horizontal="center" vertical="center"/>
    </xf>
    <xf numFmtId="4" fontId="4" fillId="7" borderId="1" applyProtection="0">
      <alignment horizontal="center" vertical="center"/>
    </xf>
    <xf numFmtId="0" fontId="5" fillId="4" borderId="1" applyProtection="0">
      <alignment horizontal="center" vertical="center"/>
    </xf>
    <xf numFmtId="0" fontId="5" fillId="5" borderId="1" applyProtection="0">
      <alignment horizontal="center" vertical="center"/>
    </xf>
    <xf numFmtId="39" fontId="6" fillId="0" borderId="0" applyFill="0" applyBorder="0" applyAlignment="0" applyProtection="0"/>
    <xf numFmtId="0" fontId="7" fillId="0" borderId="0"/>
    <xf numFmtId="9" fontId="7" fillId="0" borderId="0" applyFont="0" applyFill="0" applyBorder="0" applyAlignment="0" applyProtection="0"/>
    <xf numFmtId="0" fontId="9" fillId="0" borderId="0" applyNumberFormat="0" applyFill="0" applyBorder="0" applyAlignment="0" applyProtection="0">
      <alignment vertical="top"/>
      <protection locked="0"/>
    </xf>
    <xf numFmtId="0" fontId="10" fillId="0" borderId="0"/>
    <xf numFmtId="4" fontId="4" fillId="0" borderId="0">
      <alignment horizontal="left" vertical="top"/>
    </xf>
    <xf numFmtId="0" fontId="21" fillId="0" borderId="0" applyNumberFormat="0" applyFill="0" applyProtection="0">
      <alignment horizontal="left"/>
    </xf>
  </cellStyleXfs>
  <cellXfs count="117">
    <xf numFmtId="4" fontId="0" fillId="0" borderId="0" xfId="0">
      <alignment horizontal="left" vertical="top"/>
    </xf>
    <xf numFmtId="0" fontId="8" fillId="8" borderId="0" xfId="9" applyFont="1" applyFill="1"/>
    <xf numFmtId="0" fontId="7" fillId="3" borderId="0" xfId="9" applyFill="1"/>
    <xf numFmtId="0" fontId="9" fillId="3" borderId="0" xfId="11" applyFill="1" applyAlignment="1" applyProtection="1"/>
    <xf numFmtId="164" fontId="11" fillId="3" borderId="0" xfId="0" applyNumberFormat="1" applyFont="1" applyFill="1" applyAlignment="1"/>
    <xf numFmtId="4" fontId="12" fillId="3" borderId="0" xfId="0" applyFont="1" applyFill="1" applyAlignment="1">
      <alignment horizontal="left"/>
    </xf>
    <xf numFmtId="4" fontId="12" fillId="0" borderId="0" xfId="0" applyFont="1" applyAlignment="1">
      <alignment horizontal="left"/>
    </xf>
    <xf numFmtId="4" fontId="13" fillId="3" borderId="0" xfId="0" applyFont="1" applyFill="1" applyAlignment="1">
      <alignment vertical="center"/>
    </xf>
    <xf numFmtId="4" fontId="15" fillId="3" borderId="0" xfId="0" applyFont="1" applyFill="1" applyAlignment="1">
      <alignment horizontal="left" vertical="center"/>
    </xf>
    <xf numFmtId="4" fontId="11" fillId="3" borderId="0" xfId="0" applyFont="1" applyFill="1" applyAlignment="1">
      <alignment vertical="top" wrapText="1"/>
    </xf>
    <xf numFmtId="4" fontId="15" fillId="0" borderId="0" xfId="0" applyFont="1" applyAlignment="1">
      <alignment horizontal="left" vertical="center"/>
    </xf>
    <xf numFmtId="4" fontId="11" fillId="3" borderId="0" xfId="0" applyFont="1" applyFill="1" applyAlignment="1">
      <alignment horizontal="left" vertical="center"/>
    </xf>
    <xf numFmtId="14" fontId="11" fillId="3" borderId="0" xfId="2" applyNumberFormat="1" applyFont="1" applyFill="1">
      <alignment horizontal="left"/>
    </xf>
    <xf numFmtId="14" fontId="11" fillId="0" borderId="0" xfId="2" applyNumberFormat="1" applyFont="1">
      <alignment horizontal="left"/>
    </xf>
    <xf numFmtId="14" fontId="11" fillId="3" borderId="0" xfId="0" applyNumberFormat="1" applyFont="1" applyFill="1" applyAlignment="1">
      <alignment horizontal="left"/>
    </xf>
    <xf numFmtId="14" fontId="11" fillId="0" borderId="0" xfId="0" applyNumberFormat="1" applyFont="1" applyAlignment="1">
      <alignment horizontal="left"/>
    </xf>
    <xf numFmtId="4" fontId="11" fillId="3" borderId="0" xfId="0" applyFont="1" applyFill="1">
      <alignment horizontal="left" vertical="top"/>
    </xf>
    <xf numFmtId="4" fontId="11" fillId="0" borderId="0" xfId="0" applyFont="1">
      <alignment horizontal="left" vertical="top"/>
    </xf>
    <xf numFmtId="0" fontId="17" fillId="2" borderId="0" xfId="3" applyFont="1" applyBorder="1">
      <alignment horizontal="center" vertical="center"/>
    </xf>
    <xf numFmtId="0" fontId="17" fillId="4" borderId="3" xfId="6" applyFont="1" applyBorder="1">
      <alignment horizontal="center" vertical="center"/>
    </xf>
    <xf numFmtId="0" fontId="17" fillId="4" borderId="3" xfId="6" applyFont="1" applyBorder="1" applyAlignment="1">
      <alignment horizontal="center" vertical="center" wrapText="1"/>
    </xf>
    <xf numFmtId="0" fontId="17" fillId="5" borderId="1" xfId="7" applyFont="1">
      <alignment horizontal="center" vertical="center"/>
    </xf>
    <xf numFmtId="4" fontId="11" fillId="3" borderId="0" xfId="0" applyFont="1" applyFill="1" applyAlignment="1">
      <alignment horizontal="center" vertical="center"/>
    </xf>
    <xf numFmtId="4" fontId="11" fillId="0" borderId="0" xfId="0" applyFont="1" applyAlignment="1">
      <alignment horizontal="center" vertical="center"/>
    </xf>
    <xf numFmtId="4" fontId="18" fillId="3" borderId="0" xfId="0" applyFont="1" applyFill="1">
      <alignment horizontal="left" vertical="top"/>
    </xf>
    <xf numFmtId="4" fontId="18" fillId="0" borderId="0" xfId="0" applyFont="1">
      <alignment horizontal="left" vertical="top"/>
    </xf>
    <xf numFmtId="4" fontId="19" fillId="3" borderId="0" xfId="0" applyFont="1" applyFill="1" applyAlignment="1">
      <alignment horizontal="left"/>
    </xf>
    <xf numFmtId="4" fontId="11" fillId="3" borderId="0" xfId="13" applyFont="1" applyFill="1">
      <alignment horizontal="left" vertical="top"/>
    </xf>
    <xf numFmtId="0" fontId="20" fillId="3" borderId="10" xfId="12" applyFont="1" applyFill="1" applyBorder="1" applyAlignment="1">
      <alignment vertical="center"/>
    </xf>
    <xf numFmtId="4" fontId="11" fillId="3" borderId="0" xfId="13" applyFont="1" applyFill="1" applyAlignment="1">
      <alignment horizontal="left"/>
    </xf>
    <xf numFmtId="4" fontId="22" fillId="0" borderId="0" xfId="13" applyFont="1">
      <alignment horizontal="left" vertical="top"/>
    </xf>
    <xf numFmtId="0" fontId="14" fillId="0" borderId="0" xfId="14" applyFont="1">
      <alignment horizontal="left"/>
    </xf>
    <xf numFmtId="4" fontId="23" fillId="0" borderId="0" xfId="13" applyFont="1" applyAlignment="1">
      <alignment vertical="center"/>
    </xf>
    <xf numFmtId="0" fontId="17" fillId="4" borderId="1" xfId="6" applyFont="1">
      <alignment horizontal="center" vertical="center"/>
    </xf>
    <xf numFmtId="166" fontId="11" fillId="6" borderId="1" xfId="4" applyNumberFormat="1" applyFont="1" applyAlignment="1">
      <alignment horizontal="right" vertical="center"/>
    </xf>
    <xf numFmtId="4" fontId="11" fillId="3" borderId="0" xfId="0" applyFont="1" applyFill="1" applyAlignment="1">
      <alignment horizontal="right" vertical="top"/>
    </xf>
    <xf numFmtId="3" fontId="11" fillId="6" borderId="1" xfId="4" applyNumberFormat="1" applyFont="1" applyAlignment="1">
      <alignment horizontal="right" vertical="center"/>
    </xf>
    <xf numFmtId="166" fontId="11" fillId="7" borderId="1" xfId="5" applyNumberFormat="1" applyFont="1" applyAlignment="1">
      <alignment horizontal="right" vertical="center"/>
    </xf>
    <xf numFmtId="3" fontId="11" fillId="7" borderId="1" xfId="5" applyNumberFormat="1" applyFont="1" applyAlignment="1">
      <alignment horizontal="right" vertical="center"/>
    </xf>
    <xf numFmtId="4" fontId="11" fillId="3" borderId="0" xfId="0" applyFont="1" applyFill="1" applyAlignment="1">
      <alignment horizontal="right" vertical="center"/>
    </xf>
    <xf numFmtId="4" fontId="13" fillId="0" borderId="0" xfId="13" applyFont="1" applyAlignment="1">
      <alignment horizontal="left" vertical="top" wrapText="1"/>
    </xf>
    <xf numFmtId="17" fontId="11" fillId="6" borderId="5" xfId="4" applyNumberFormat="1" applyFont="1" applyBorder="1" applyAlignment="1">
      <alignment horizontal="left" vertical="center"/>
    </xf>
    <xf numFmtId="17" fontId="11" fillId="7" borderId="5" xfId="5" applyNumberFormat="1" applyFont="1" applyBorder="1" applyAlignment="1">
      <alignment horizontal="left" vertical="center"/>
    </xf>
    <xf numFmtId="0" fontId="7" fillId="0" borderId="0" xfId="9"/>
    <xf numFmtId="0" fontId="17" fillId="2" borderId="4" xfId="3" applyFont="1" applyBorder="1" applyAlignment="1" applyProtection="1">
      <alignment horizontal="right"/>
      <protection locked="0"/>
    </xf>
    <xf numFmtId="0" fontId="17" fillId="2" borderId="5" xfId="3" applyFont="1" applyBorder="1" applyAlignment="1" applyProtection="1">
      <alignment horizontal="center"/>
      <protection locked="0"/>
    </xf>
    <xf numFmtId="0" fontId="18" fillId="4" borderId="3" xfId="6" applyFont="1" applyBorder="1">
      <alignment horizontal="center" vertical="center"/>
    </xf>
    <xf numFmtId="165" fontId="18" fillId="4" borderId="3" xfId="6" applyNumberFormat="1" applyFont="1" applyBorder="1">
      <alignment horizontal="center" vertical="center"/>
    </xf>
    <xf numFmtId="165" fontId="11" fillId="9" borderId="7" xfId="0" applyNumberFormat="1" applyFont="1" applyFill="1" applyBorder="1" applyAlignment="1">
      <alignment horizontal="left" vertical="center"/>
    </xf>
    <xf numFmtId="4" fontId="11" fillId="9" borderId="1" xfId="0" applyFont="1" applyFill="1" applyBorder="1" applyAlignment="1">
      <alignment horizontal="right" vertical="center"/>
    </xf>
    <xf numFmtId="4" fontId="16" fillId="9" borderId="1" xfId="0" applyFont="1" applyFill="1" applyBorder="1" applyAlignment="1">
      <alignment horizontal="right" vertical="center"/>
    </xf>
    <xf numFmtId="165" fontId="11" fillId="10" borderId="1" xfId="0" applyNumberFormat="1" applyFont="1" applyFill="1" applyBorder="1">
      <alignment horizontal="left" vertical="top"/>
    </xf>
    <xf numFmtId="4" fontId="11" fillId="10" borderId="1" xfId="0" applyFont="1" applyFill="1" applyBorder="1" applyAlignment="1">
      <alignment horizontal="right" vertical="top"/>
    </xf>
    <xf numFmtId="4" fontId="16" fillId="10" borderId="1" xfId="0" applyFont="1" applyFill="1" applyBorder="1" applyAlignment="1">
      <alignment horizontal="right" vertical="top"/>
    </xf>
    <xf numFmtId="165" fontId="11" fillId="9" borderId="1" xfId="0" applyNumberFormat="1" applyFont="1" applyFill="1" applyBorder="1" applyAlignment="1">
      <alignment horizontal="left" vertical="center"/>
    </xf>
    <xf numFmtId="9" fontId="11" fillId="9" borderId="1" xfId="1" applyFont="1" applyFill="1" applyBorder="1" applyAlignment="1">
      <alignment horizontal="right" vertical="center"/>
    </xf>
    <xf numFmtId="165" fontId="11" fillId="0" borderId="0" xfId="0" applyNumberFormat="1" applyFont="1" applyAlignment="1">
      <alignment horizontal="left" vertical="center"/>
    </xf>
    <xf numFmtId="4" fontId="11" fillId="0" borderId="4" xfId="0" applyFont="1" applyBorder="1" applyAlignment="1">
      <alignment horizontal="right" vertical="center"/>
    </xf>
    <xf numFmtId="4" fontId="16" fillId="0" borderId="4" xfId="0" applyFont="1" applyBorder="1" applyAlignment="1">
      <alignment horizontal="right" vertical="center"/>
    </xf>
    <xf numFmtId="9" fontId="11" fillId="0" borderId="5" xfId="1" applyFont="1" applyFill="1" applyBorder="1" applyAlignment="1">
      <alignment horizontal="right" vertical="center"/>
    </xf>
    <xf numFmtId="0" fontId="17" fillId="2" borderId="4" xfId="3" applyFont="1" applyBorder="1" applyAlignment="1" applyProtection="1">
      <alignment horizontal="center"/>
      <protection locked="0"/>
    </xf>
    <xf numFmtId="0" fontId="11" fillId="3" borderId="0" xfId="9" applyFont="1" applyFill="1"/>
    <xf numFmtId="0" fontId="22" fillId="3" borderId="0" xfId="9" applyFont="1" applyFill="1"/>
    <xf numFmtId="4" fontId="11" fillId="0" borderId="0" xfId="13" applyFont="1">
      <alignment horizontal="left" vertical="top"/>
    </xf>
    <xf numFmtId="0" fontId="20" fillId="0" borderId="0" xfId="14" applyFont="1">
      <alignment horizontal="left"/>
    </xf>
    <xf numFmtId="4" fontId="11" fillId="0" borderId="0" xfId="13" applyFont="1" applyAlignment="1">
      <alignment vertical="top" wrapText="1"/>
    </xf>
    <xf numFmtId="4" fontId="16" fillId="0" borderId="0" xfId="13" applyFont="1" applyAlignment="1">
      <alignment vertical="top"/>
    </xf>
    <xf numFmtId="4" fontId="16" fillId="0" borderId="0" xfId="13" applyFont="1">
      <alignment horizontal="left" vertical="top"/>
    </xf>
    <xf numFmtId="39" fontId="24" fillId="0" borderId="0" xfId="8" applyFont="1" applyAlignment="1">
      <alignment horizontal="left" vertical="top"/>
    </xf>
    <xf numFmtId="4" fontId="16" fillId="0" borderId="12" xfId="13" applyFont="1" applyBorder="1">
      <alignment horizontal="left" vertical="top"/>
    </xf>
    <xf numFmtId="9" fontId="11" fillId="10" borderId="1" xfId="1" applyFont="1" applyFill="1" applyBorder="1" applyAlignment="1">
      <alignment horizontal="right" vertical="top"/>
    </xf>
    <xf numFmtId="0" fontId="17" fillId="2" borderId="7" xfId="3" applyFont="1" applyBorder="1" applyAlignment="1">
      <alignment horizontal="center" vertical="center" wrapText="1"/>
    </xf>
    <xf numFmtId="0" fontId="17" fillId="2" borderId="2" xfId="3" applyFont="1" applyBorder="1" applyAlignment="1">
      <alignment horizontal="center" vertical="center" wrapText="1"/>
    </xf>
    <xf numFmtId="0" fontId="25" fillId="3" borderId="0" xfId="9" applyFont="1" applyFill="1" applyAlignment="1">
      <alignment horizontal="left"/>
    </xf>
    <xf numFmtId="4" fontId="0" fillId="3" borderId="0" xfId="0" applyFill="1">
      <alignment horizontal="left" vertical="top"/>
    </xf>
    <xf numFmtId="0" fontId="20" fillId="3" borderId="0" xfId="12" applyFont="1" applyFill="1" applyAlignment="1">
      <alignment vertical="center"/>
    </xf>
    <xf numFmtId="0" fontId="17" fillId="5" borderId="13" xfId="7" quotePrefix="1" applyFont="1" applyBorder="1">
      <alignment horizontal="center" vertical="center"/>
    </xf>
    <xf numFmtId="0" fontId="17" fillId="5" borderId="13" xfId="7" quotePrefix="1" applyFont="1" applyBorder="1" applyAlignment="1">
      <alignment horizontal="center" vertical="center" wrapText="1"/>
    </xf>
    <xf numFmtId="4" fontId="7" fillId="3" borderId="0" xfId="9" applyNumberFormat="1" applyFill="1"/>
    <xf numFmtId="4" fontId="11" fillId="9" borderId="7" xfId="0" applyFont="1" applyFill="1" applyBorder="1" applyAlignment="1">
      <alignment horizontal="right" vertical="center"/>
    </xf>
    <xf numFmtId="0" fontId="18" fillId="12" borderId="3" xfId="6" applyFont="1" applyFill="1" applyBorder="1">
      <alignment horizontal="center" vertical="center"/>
    </xf>
    <xf numFmtId="4" fontId="16" fillId="3" borderId="0" xfId="13" applyFont="1" applyFill="1">
      <alignment horizontal="left" vertical="top"/>
    </xf>
    <xf numFmtId="167" fontId="11" fillId="7" borderId="1" xfId="5" applyNumberFormat="1" applyFont="1" applyAlignment="1">
      <alignment horizontal="right" vertical="center"/>
    </xf>
    <xf numFmtId="167" fontId="11" fillId="6" borderId="1" xfId="4" applyNumberFormat="1" applyFont="1" applyAlignment="1">
      <alignment horizontal="right" vertical="center"/>
    </xf>
    <xf numFmtId="166" fontId="22" fillId="3" borderId="0" xfId="9" applyNumberFormat="1" applyFont="1" applyFill="1"/>
    <xf numFmtId="168" fontId="11" fillId="10" borderId="1" xfId="1" applyNumberFormat="1" applyFont="1" applyFill="1" applyBorder="1" applyAlignment="1">
      <alignment horizontal="right" vertical="top"/>
    </xf>
    <xf numFmtId="0" fontId="26" fillId="3" borderId="0" xfId="9" applyFont="1" applyFill="1"/>
    <xf numFmtId="4" fontId="27" fillId="3" borderId="0" xfId="0" applyFont="1" applyFill="1">
      <alignment horizontal="left" vertical="top"/>
    </xf>
    <xf numFmtId="168" fontId="11" fillId="3" borderId="0" xfId="1" applyNumberFormat="1" applyFont="1" applyFill="1" applyAlignment="1">
      <alignment horizontal="left" vertical="top"/>
    </xf>
    <xf numFmtId="4" fontId="2" fillId="3" borderId="0" xfId="0" applyFont="1" applyFill="1" applyAlignment="1">
      <alignment horizontal="right" vertical="top"/>
    </xf>
    <xf numFmtId="9" fontId="7" fillId="3" borderId="0" xfId="1" applyFont="1" applyFill="1"/>
    <xf numFmtId="4" fontId="1" fillId="3" borderId="0" xfId="13" applyFont="1" applyFill="1" applyAlignment="1">
      <alignment horizontal="left"/>
    </xf>
    <xf numFmtId="4" fontId="1" fillId="3" borderId="0" xfId="0" applyFont="1" applyFill="1" applyAlignment="1">
      <alignment horizontal="right"/>
    </xf>
    <xf numFmtId="9" fontId="11" fillId="3" borderId="0" xfId="1" applyFont="1" applyFill="1" applyAlignment="1">
      <alignment horizontal="left" vertical="top"/>
    </xf>
    <xf numFmtId="0" fontId="17" fillId="2" borderId="9" xfId="3" applyFont="1" applyBorder="1" applyAlignment="1">
      <alignment horizontal="center" vertical="center" wrapText="1"/>
    </xf>
    <xf numFmtId="0" fontId="17" fillId="2" borderId="0" xfId="3" applyFont="1" applyBorder="1" applyAlignment="1">
      <alignment horizontal="center" vertical="center" wrapText="1"/>
    </xf>
    <xf numFmtId="0" fontId="17" fillId="2" borderId="9" xfId="3" applyFont="1" applyBorder="1">
      <alignment horizontal="center" vertical="center"/>
    </xf>
    <xf numFmtId="0" fontId="17" fillId="2" borderId="0" xfId="3" applyFont="1" applyBorder="1">
      <alignment horizontal="center" vertical="center"/>
    </xf>
    <xf numFmtId="0" fontId="17" fillId="2" borderId="8" xfId="3" applyFont="1" applyBorder="1">
      <alignment horizontal="center" vertical="center"/>
    </xf>
    <xf numFmtId="0" fontId="17" fillId="2" borderId="6" xfId="3" applyFont="1" applyBorder="1">
      <alignment horizontal="center" vertical="center"/>
    </xf>
    <xf numFmtId="0" fontId="17" fillId="5" borderId="3" xfId="7" applyFont="1" applyBorder="1">
      <alignment horizontal="center" vertical="center"/>
    </xf>
    <xf numFmtId="0" fontId="17" fillId="5" borderId="5" xfId="7" applyFont="1" applyBorder="1">
      <alignment horizontal="center" vertical="center"/>
    </xf>
    <xf numFmtId="0" fontId="17" fillId="2" borderId="4" xfId="3" applyFont="1" applyBorder="1" applyAlignment="1" applyProtection="1">
      <alignment horizontal="center"/>
      <protection locked="0"/>
    </xf>
    <xf numFmtId="0" fontId="17" fillId="2" borderId="13" xfId="3" applyFont="1" applyBorder="1">
      <alignment horizontal="center" vertical="center"/>
    </xf>
    <xf numFmtId="0" fontId="17" fillId="2" borderId="7" xfId="3" applyFont="1" applyBorder="1">
      <alignment horizontal="center" vertical="center"/>
    </xf>
    <xf numFmtId="0" fontId="17" fillId="2" borderId="3" xfId="3" applyFont="1" applyBorder="1" applyAlignment="1" applyProtection="1">
      <alignment horizontal="center"/>
      <protection locked="0"/>
    </xf>
    <xf numFmtId="0" fontId="17" fillId="2" borderId="5" xfId="3" applyFont="1" applyBorder="1" applyAlignment="1" applyProtection="1">
      <alignment horizontal="center"/>
      <protection locked="0"/>
    </xf>
    <xf numFmtId="0" fontId="17" fillId="11" borderId="4" xfId="3" applyFont="1" applyFill="1" applyBorder="1" applyAlignment="1" applyProtection="1">
      <alignment horizontal="center"/>
      <protection locked="0"/>
    </xf>
    <xf numFmtId="4" fontId="11" fillId="3" borderId="0" xfId="13" applyFont="1" applyFill="1" applyAlignment="1">
      <alignment vertical="top" wrapText="1"/>
    </xf>
    <xf numFmtId="4" fontId="11" fillId="3" borderId="0" xfId="13" applyFont="1" applyFill="1" applyAlignment="1">
      <alignment horizontal="left" vertical="top" wrapText="1"/>
    </xf>
    <xf numFmtId="39" fontId="24" fillId="0" borderId="12" xfId="8" applyFont="1" applyBorder="1" applyAlignment="1">
      <alignment horizontal="left" vertical="top"/>
    </xf>
    <xf numFmtId="0" fontId="20" fillId="0" borderId="11" xfId="14" applyFont="1" applyBorder="1">
      <alignment horizontal="left"/>
    </xf>
    <xf numFmtId="4" fontId="13" fillId="0" borderId="0" xfId="13" applyFont="1" applyAlignment="1">
      <alignment horizontal="left" vertical="top" wrapText="1"/>
    </xf>
    <xf numFmtId="4" fontId="16" fillId="0" borderId="0" xfId="13" applyFont="1" applyAlignment="1">
      <alignment horizontal="left" vertical="top" wrapText="1"/>
    </xf>
    <xf numFmtId="4" fontId="2" fillId="0" borderId="0" xfId="13" applyFont="1" applyAlignment="1">
      <alignment horizontal="left" vertical="top" wrapText="1"/>
    </xf>
    <xf numFmtId="4" fontId="16" fillId="0" borderId="0" xfId="13" applyFont="1">
      <alignment horizontal="left" vertical="top"/>
    </xf>
    <xf numFmtId="39" fontId="24" fillId="0" borderId="0" xfId="8" applyFont="1" applyAlignment="1">
      <alignment horizontal="left" vertical="top"/>
    </xf>
  </cellXfs>
  <cellStyles count="15">
    <cellStyle name="20% - Accent1" xfId="4" builtinId="30"/>
    <cellStyle name="40% - Accent1" xfId="5" builtinId="31"/>
    <cellStyle name="60% - Accent1" xfId="6" builtinId="32"/>
    <cellStyle name="Accent1" xfId="3" builtinId="29"/>
    <cellStyle name="Heading 2 2" xfId="14" xr:uid="{00000000-0005-0000-0000-000004000000}"/>
    <cellStyle name="Heading 3" xfId="2" builtinId="18"/>
    <cellStyle name="Hyperlink" xfId="8" builtinId="8"/>
    <cellStyle name="Hyperlink 2" xfId="11" xr:uid="{00000000-0005-0000-0000-000007000000}"/>
    <cellStyle name="Normal" xfId="0" builtinId="0"/>
    <cellStyle name="Normal 2" xfId="9" xr:uid="{00000000-0005-0000-0000-000009000000}"/>
    <cellStyle name="Normal 3" xfId="13" xr:uid="{00000000-0005-0000-0000-00000A000000}"/>
    <cellStyle name="Normal 4" xfId="12" xr:uid="{00000000-0005-0000-0000-00000B000000}"/>
    <cellStyle name="Percent" xfId="1" builtinId="5"/>
    <cellStyle name="Percent 2" xfId="10" xr:uid="{00000000-0005-0000-0000-00000D000000}"/>
    <cellStyle name="table heading 3" xfId="7" xr:uid="{00000000-0005-0000-0000-00000E000000}"/>
  </cellStyles>
  <dxfs count="0"/>
  <tableStyles count="0" defaultTableStyle="TableStyleMedium2" defaultPivotStyle="PivotStyleLight16"/>
  <colors>
    <mruColors>
      <color rgb="FF61BAE8"/>
      <color rgb="FF0090D3"/>
      <color rgb="FF99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 Id="rId4" Type="http://schemas.openxmlformats.org/officeDocument/2006/relationships/chartUserShapes" Target="../drawings/drawing1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IMPE v AMPE</a:t>
            </a:r>
          </a:p>
        </c:rich>
      </c:tx>
      <c:overlay val="0"/>
      <c:spPr>
        <a:noFill/>
        <a:ln w="25400">
          <a:noFill/>
        </a:ln>
      </c:spPr>
    </c:title>
    <c:autoTitleDeleted val="0"/>
    <c:plotArea>
      <c:layout/>
      <c:lineChart>
        <c:grouping val="standard"/>
        <c:varyColors val="0"/>
        <c:ser>
          <c:idx val="0"/>
          <c:order val="0"/>
          <c:tx>
            <c:v>'AMPE-MCVE 2014'!#REF!</c:v>
          </c:tx>
          <c:spPr>
            <a:ln w="25400">
              <a:solidFill>
                <a:srgbClr val="FF0000"/>
              </a:solidFill>
              <a:prstDash val="solid"/>
            </a:ln>
          </c:spPr>
          <c:marker>
            <c:symbol val="diamond"/>
            <c:size val="7"/>
            <c:spPr>
              <a:solidFill>
                <a:srgbClr val="FF0000"/>
              </a:solidFill>
              <a:ln>
                <a:solidFill>
                  <a:srgbClr val="FF0000"/>
                </a:solidFill>
                <a:prstDash val="solid"/>
              </a:ln>
            </c:spPr>
          </c:marker>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0-459D-4574-9DC1-F8F403473E6C}"/>
            </c:ext>
          </c:extLst>
        </c:ser>
        <c:ser>
          <c:idx val="1"/>
          <c:order val="1"/>
          <c:tx>
            <c:v>'AMPE-MCVE 2014'!#REF!</c:v>
          </c:tx>
          <c:spPr>
            <a:ln w="25400">
              <a:solidFill>
                <a:srgbClr val="000080"/>
              </a:solidFill>
              <a:prstDash val="solid"/>
            </a:ln>
          </c:spPr>
          <c:marker>
            <c:symbol val="square"/>
            <c:size val="7"/>
            <c:spPr>
              <a:solidFill>
                <a:srgbClr val="000080"/>
              </a:solidFill>
              <a:ln>
                <a:solidFill>
                  <a:srgbClr val="000080"/>
                </a:solidFill>
                <a:prstDash val="solid"/>
              </a:ln>
            </c:spPr>
          </c:marker>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1-459D-4574-9DC1-F8F403473E6C}"/>
            </c:ext>
          </c:extLst>
        </c:ser>
        <c:dLbls>
          <c:showLegendKey val="0"/>
          <c:showVal val="0"/>
          <c:showCatName val="0"/>
          <c:showSerName val="0"/>
          <c:showPercent val="0"/>
          <c:showBubbleSize val="0"/>
        </c:dLbls>
        <c:marker val="1"/>
        <c:smooth val="0"/>
        <c:axId val="615089360"/>
        <c:axId val="1"/>
      </c:lineChart>
      <c:catAx>
        <c:axId val="615089360"/>
        <c:scaling>
          <c:orientation val="minMax"/>
        </c:scaling>
        <c:delete val="0"/>
        <c:axPos val="b"/>
        <c:numFmt formatCode="mmm\-yy" sourceLinked="0"/>
        <c:majorTickMark val="out"/>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ax val="20"/>
          <c:min val="16"/>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ppl</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615089360"/>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1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Adjusted AMPE v Adjusted DEFRA Price</a:t>
            </a:r>
          </a:p>
        </c:rich>
      </c:tx>
      <c:overlay val="0"/>
      <c:spPr>
        <a:noFill/>
        <a:ln w="25400">
          <a:noFill/>
        </a:ln>
      </c:spPr>
    </c:title>
    <c:autoTitleDeleted val="0"/>
    <c:plotArea>
      <c:layout/>
      <c:lineChart>
        <c:grouping val="standard"/>
        <c:varyColors val="0"/>
        <c:ser>
          <c:idx val="0"/>
          <c:order val="0"/>
          <c:tx>
            <c:v>'AMPE-MCVE 2014'!#REF!</c:v>
          </c:tx>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0-0863-4C0A-878C-1878D968F6F6}"/>
            </c:ext>
          </c:extLst>
        </c:ser>
        <c:ser>
          <c:idx val="1"/>
          <c:order val="1"/>
          <c:tx>
            <c:v>'AMPE-MCVE 2014'!#REF!</c:v>
          </c:tx>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1-0863-4C0A-878C-1878D968F6F6}"/>
            </c:ext>
          </c:extLst>
        </c:ser>
        <c:dLbls>
          <c:showLegendKey val="0"/>
          <c:showVal val="0"/>
          <c:showCatName val="0"/>
          <c:showSerName val="0"/>
          <c:showPercent val="0"/>
          <c:showBubbleSize val="0"/>
        </c:dLbls>
        <c:marker val="1"/>
        <c:smooth val="0"/>
        <c:axId val="615096576"/>
        <c:axId val="1"/>
      </c:lineChart>
      <c:catAx>
        <c:axId val="615096576"/>
        <c:scaling>
          <c:orientation val="minMax"/>
        </c:scaling>
        <c:delete val="0"/>
        <c:axPos val="b"/>
        <c:numFmt formatCode="mmm\-yy" sourceLinked="0"/>
        <c:majorTickMark val="out"/>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in val="16"/>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ppl</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615096576"/>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1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b="1"/>
            </a:pPr>
            <a:r>
              <a:rPr lang="en-GB" b="1"/>
              <a:t>MCVE</a:t>
            </a:r>
          </a:p>
        </c:rich>
      </c:tx>
      <c:layout>
        <c:manualLayout>
          <c:xMode val="edge"/>
          <c:yMode val="edge"/>
          <c:x val="0.44736890925379003"/>
          <c:y val="1.4699092524694309E-2"/>
        </c:manualLayout>
      </c:layout>
      <c:overlay val="0"/>
      <c:spPr>
        <a:noFill/>
        <a:ln w="25400">
          <a:noFill/>
        </a:ln>
      </c:spPr>
    </c:title>
    <c:autoTitleDeleted val="0"/>
    <c:plotArea>
      <c:layout>
        <c:manualLayout>
          <c:layoutTarget val="inner"/>
          <c:xMode val="edge"/>
          <c:yMode val="edge"/>
          <c:x val="8.7657098765432095E-2"/>
          <c:y val="0.14864766706784627"/>
          <c:w val="0.88138179012345674"/>
          <c:h val="0.65117420470888787"/>
        </c:manualLayout>
      </c:layout>
      <c:lineChart>
        <c:grouping val="standard"/>
        <c:varyColors val="0"/>
        <c:ser>
          <c:idx val="1"/>
          <c:order val="0"/>
          <c:tx>
            <c:v>MCVE-2014</c:v>
          </c:tx>
          <c:spPr>
            <a:ln w="28575" cap="rnd">
              <a:solidFill>
                <a:schemeClr val="accent2"/>
              </a:solidFill>
              <a:round/>
            </a:ln>
            <a:effectLst/>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 2014'!$D$72:$D$145</c:f>
              <c:numCache>
                <c:formatCode>#,##0.0</c:formatCode>
                <c:ptCount val="74"/>
                <c:pt idx="0">
                  <c:v>24.503473091586443</c:v>
                </c:pt>
                <c:pt idx="1">
                  <c:v>24.337759869783959</c:v>
                </c:pt>
                <c:pt idx="2">
                  <c:v>23.902465752136902</c:v>
                </c:pt>
                <c:pt idx="3">
                  <c:v>22.578139638424179</c:v>
                </c:pt>
                <c:pt idx="4">
                  <c:v>20.123238193977798</c:v>
                </c:pt>
                <c:pt idx="5">
                  <c:v>20.284472592250868</c:v>
                </c:pt>
                <c:pt idx="6">
                  <c:v>20.670776062067326</c:v>
                </c:pt>
                <c:pt idx="7">
                  <c:v>19.052507995230055</c:v>
                </c:pt>
                <c:pt idx="8">
                  <c:v>18.945853289347703</c:v>
                </c:pt>
                <c:pt idx="9">
                  <c:v>17.723946922456463</c:v>
                </c:pt>
                <c:pt idx="10">
                  <c:v>17.415257224901207</c:v>
                </c:pt>
                <c:pt idx="11">
                  <c:v>16.220729789240348</c:v>
                </c:pt>
                <c:pt idx="12">
                  <c:v>15.70852346299114</c:v>
                </c:pt>
                <c:pt idx="13">
                  <c:v>16.554852746428633</c:v>
                </c:pt>
                <c:pt idx="14">
                  <c:v>19.632401787658488</c:v>
                </c:pt>
                <c:pt idx="15">
                  <c:v>23.548068143318886</c:v>
                </c:pt>
                <c:pt idx="16">
                  <c:v>28.02133798912487</c:v>
                </c:pt>
                <c:pt idx="17">
                  <c:v>32.400328853349698</c:v>
                </c:pt>
                <c:pt idx="18">
                  <c:v>33.946231248959833</c:v>
                </c:pt>
                <c:pt idx="19">
                  <c:v>33.682872851673253</c:v>
                </c:pt>
                <c:pt idx="20">
                  <c:v>33.536941374393166</c:v>
                </c:pt>
                <c:pt idx="21">
                  <c:v>33.7112664324072</c:v>
                </c:pt>
                <c:pt idx="22">
                  <c:v>32.275608595297946</c:v>
                </c:pt>
                <c:pt idx="23">
                  <c:v>32.083405247138316</c:v>
                </c:pt>
                <c:pt idx="24">
                  <c:v>31.787843183150255</c:v>
                </c:pt>
                <c:pt idx="25">
                  <c:v>33.295883109420934</c:v>
                </c:pt>
                <c:pt idx="26">
                  <c:v>36.915422822032276</c:v>
                </c:pt>
                <c:pt idx="27">
                  <c:v>37.137589192048345</c:v>
                </c:pt>
                <c:pt idx="28">
                  <c:v>38.698417216521882</c:v>
                </c:pt>
                <c:pt idx="29">
                  <c:v>38.484988185528842</c:v>
                </c:pt>
                <c:pt idx="30">
                  <c:v>36.605212529059528</c:v>
                </c:pt>
                <c:pt idx="31">
                  <c:v>34.860941492697108</c:v>
                </c:pt>
                <c:pt idx="32">
                  <c:v>31.866863128940576</c:v>
                </c:pt>
                <c:pt idx="33">
                  <c:v>30.101141976852418</c:v>
                </c:pt>
                <c:pt idx="34">
                  <c:v>31.302838041995251</c:v>
                </c:pt>
                <c:pt idx="35">
                  <c:v>31.049760237046577</c:v>
                </c:pt>
                <c:pt idx="36">
                  <c:v>31.38103890404923</c:v>
                </c:pt>
                <c:pt idx="37">
                  <c:v>32.326630793331361</c:v>
                </c:pt>
                <c:pt idx="38">
                  <c:v>32.77453848220555</c:v>
                </c:pt>
                <c:pt idx="39">
                  <c:v>33.37016899172513</c:v>
                </c:pt>
                <c:pt idx="40">
                  <c:v>33.619409101187259</c:v>
                </c:pt>
                <c:pt idx="41">
                  <c:v>33.631101611261016</c:v>
                </c:pt>
                <c:pt idx="42">
                  <c:v>32.664358882691246</c:v>
                </c:pt>
                <c:pt idx="43">
                  <c:v>31.061076026948452</c:v>
                </c:pt>
                <c:pt idx="44">
                  <c:v>31.04272128877902</c:v>
                </c:pt>
                <c:pt idx="45">
                  <c:v>31.583415894544736</c:v>
                </c:pt>
                <c:pt idx="46">
                  <c:v>31.416821228057955</c:v>
                </c:pt>
                <c:pt idx="47">
                  <c:v>30.80860322627068</c:v>
                </c:pt>
                <c:pt idx="48">
                  <c:v>30.555551623557268</c:v>
                </c:pt>
                <c:pt idx="49">
                  <c:v>30.444226546924778</c:v>
                </c:pt>
                <c:pt idx="50">
                  <c:v>30.367229368835197</c:v>
                </c:pt>
                <c:pt idx="51">
                  <c:v>30.025744788694883</c:v>
                </c:pt>
                <c:pt idx="52">
                  <c:v>29.927789093605835</c:v>
                </c:pt>
                <c:pt idx="53">
                  <c:v>29.904787154048364</c:v>
                </c:pt>
                <c:pt idx="54">
                  <c:v>30.085667747680308</c:v>
                </c:pt>
                <c:pt idx="55">
                  <c:v>30.198522550702435</c:v>
                </c:pt>
                <c:pt idx="56">
                  <c:v>30.160195423341399</c:v>
                </c:pt>
                <c:pt idx="57">
                  <c:v>30.206649326201624</c:v>
                </c:pt>
                <c:pt idx="58">
                  <c:v>30.563648755560411</c:v>
                </c:pt>
                <c:pt idx="59">
                  <c:v>30.980544961184709</c:v>
                </c:pt>
                <c:pt idx="60">
                  <c:v>30.114720572574964</c:v>
                </c:pt>
                <c:pt idx="61">
                  <c:v>30.487531303051448</c:v>
                </c:pt>
                <c:pt idx="62">
                  <c:v>30.88985932049394</c:v>
                </c:pt>
                <c:pt idx="63">
                  <c:v>31.012454241178208</c:v>
                </c:pt>
                <c:pt idx="64">
                  <c:v>30.917906820670925</c:v>
                </c:pt>
                <c:pt idx="65">
                  <c:v>30.965450492068658</c:v>
                </c:pt>
                <c:pt idx="66">
                  <c:v>31.011060097627212</c:v>
                </c:pt>
                <c:pt idx="67">
                  <c:v>30.932076164545723</c:v>
                </c:pt>
                <c:pt idx="68">
                  <c:v>31.309432446155935</c:v>
                </c:pt>
                <c:pt idx="69">
                  <c:v>31.437099434786465</c:v>
                </c:pt>
                <c:pt idx="70">
                  <c:v>31.827701069711619</c:v>
                </c:pt>
                <c:pt idx="71">
                  <c:v>32.302135836355433</c:v>
                </c:pt>
                <c:pt idx="72">
                  <c:v>32.80046318068387</c:v>
                </c:pt>
                <c:pt idx="73">
                  <c:v>32.941693933458218</c:v>
                </c:pt>
              </c:numCache>
            </c:numRef>
          </c:val>
          <c:smooth val="0"/>
          <c:extLst>
            <c:ext xmlns:c16="http://schemas.microsoft.com/office/drawing/2014/chart" uri="{C3380CC4-5D6E-409C-BE32-E72D297353CC}">
              <c16:uniqueId val="{00000001-55C3-456A-83A2-7D67BEB5E632}"/>
            </c:ext>
          </c:extLst>
        </c:ser>
        <c:ser>
          <c:idx val="0"/>
          <c:order val="1"/>
          <c:tx>
            <c:v>MCVE-2020</c:v>
          </c:tx>
          <c:spPr>
            <a:ln w="28575"/>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'AMPE-MCVE'!$D$9:$D$82</c:f>
              <c:numCache>
                <c:formatCode>#,##0.0</c:formatCode>
                <c:ptCount val="74"/>
                <c:pt idx="0">
                  <c:v>24.970627084613938</c:v>
                </c:pt>
                <c:pt idx="1">
                  <c:v>24.798809646319796</c:v>
                </c:pt>
                <c:pt idx="2">
                  <c:v>24.355695873864708</c:v>
                </c:pt>
                <c:pt idx="3">
                  <c:v>23.002257525955859</c:v>
                </c:pt>
                <c:pt idx="4">
                  <c:v>20.491496572494249</c:v>
                </c:pt>
                <c:pt idx="5">
                  <c:v>20.658754729351266</c:v>
                </c:pt>
                <c:pt idx="6">
                  <c:v>21.055161689486212</c:v>
                </c:pt>
                <c:pt idx="7">
                  <c:v>19.399300512296232</c:v>
                </c:pt>
                <c:pt idx="8">
                  <c:v>19.290729853613598</c:v>
                </c:pt>
                <c:pt idx="9">
                  <c:v>18.04199920074084</c:v>
                </c:pt>
                <c:pt idx="10">
                  <c:v>17.725121494293642</c:v>
                </c:pt>
                <c:pt idx="11">
                  <c:v>16.502734518366111</c:v>
                </c:pt>
                <c:pt idx="12">
                  <c:v>15.979168843167058</c:v>
                </c:pt>
                <c:pt idx="13">
                  <c:v>16.847587257528364</c:v>
                </c:pt>
                <c:pt idx="14">
                  <c:v>19.997987685955348</c:v>
                </c:pt>
                <c:pt idx="15">
                  <c:v>24.00736802048543</c:v>
                </c:pt>
                <c:pt idx="16">
                  <c:v>28.584441823846809</c:v>
                </c:pt>
                <c:pt idx="17">
                  <c:v>33.062379104199003</c:v>
                </c:pt>
                <c:pt idx="18">
                  <c:v>34.644322249513301</c:v>
                </c:pt>
                <c:pt idx="19">
                  <c:v>34.377706914683095</c:v>
                </c:pt>
                <c:pt idx="20">
                  <c:v>34.227069025680613</c:v>
                </c:pt>
                <c:pt idx="21">
                  <c:v>34.402440783384719</c:v>
                </c:pt>
                <c:pt idx="22">
                  <c:v>32.932254455441303</c:v>
                </c:pt>
                <c:pt idx="23">
                  <c:v>32.738610091181343</c:v>
                </c:pt>
                <c:pt idx="24">
                  <c:v>32.438223176321706</c:v>
                </c:pt>
                <c:pt idx="25">
                  <c:v>33.989657822615825</c:v>
                </c:pt>
                <c:pt idx="26">
                  <c:v>37.702767519487963</c:v>
                </c:pt>
                <c:pt idx="27">
                  <c:v>37.937754582009923</c:v>
                </c:pt>
                <c:pt idx="28">
                  <c:v>39.547236211222696</c:v>
                </c:pt>
                <c:pt idx="29">
                  <c:v>39.331052144630597</c:v>
                </c:pt>
                <c:pt idx="30">
                  <c:v>37.390905629142139</c:v>
                </c:pt>
                <c:pt idx="31">
                  <c:v>35.599517422164517</c:v>
                </c:pt>
                <c:pt idx="32">
                  <c:v>32.529791178836646</c:v>
                </c:pt>
                <c:pt idx="33">
                  <c:v>30.718787752187932</c:v>
                </c:pt>
                <c:pt idx="34">
                  <c:v>31.958651512686234</c:v>
                </c:pt>
                <c:pt idx="35">
                  <c:v>31.698280470471545</c:v>
                </c:pt>
                <c:pt idx="36">
                  <c:v>32.04554697431778</c:v>
                </c:pt>
                <c:pt idx="37">
                  <c:v>33.021125000473454</c:v>
                </c:pt>
                <c:pt idx="38">
                  <c:v>33.477331313786259</c:v>
                </c:pt>
                <c:pt idx="39">
                  <c:v>34.080607589832397</c:v>
                </c:pt>
                <c:pt idx="40">
                  <c:v>34.338494842887258</c:v>
                </c:pt>
                <c:pt idx="41">
                  <c:v>34.343517267063305</c:v>
                </c:pt>
                <c:pt idx="42">
                  <c:v>33.343698091791225</c:v>
                </c:pt>
                <c:pt idx="43">
                  <c:v>31.69827413343776</c:v>
                </c:pt>
                <c:pt idx="44">
                  <c:v>31.677698640168071</c:v>
                </c:pt>
                <c:pt idx="45">
                  <c:v>32.233987899296558</c:v>
                </c:pt>
                <c:pt idx="46">
                  <c:v>32.059813760257562</c:v>
                </c:pt>
                <c:pt idx="47">
                  <c:v>31.435398946518649</c:v>
                </c:pt>
                <c:pt idx="48">
                  <c:v>31.176327455001548</c:v>
                </c:pt>
                <c:pt idx="49">
                  <c:v>31.062585549057339</c:v>
                </c:pt>
                <c:pt idx="50">
                  <c:v>30.980035411770938</c:v>
                </c:pt>
                <c:pt idx="51">
                  <c:v>30.630539978734568</c:v>
                </c:pt>
                <c:pt idx="52">
                  <c:v>30.528322734686078</c:v>
                </c:pt>
                <c:pt idx="53">
                  <c:v>30.509077362990446</c:v>
                </c:pt>
                <c:pt idx="54">
                  <c:v>30.691956375696741</c:v>
                </c:pt>
                <c:pt idx="55">
                  <c:v>30.807046999327529</c:v>
                </c:pt>
                <c:pt idx="56">
                  <c:v>30.765737983700244</c:v>
                </c:pt>
                <c:pt idx="57">
                  <c:v>30.812817898991614</c:v>
                </c:pt>
                <c:pt idx="58">
                  <c:v>31.175246567279967</c:v>
                </c:pt>
                <c:pt idx="59">
                  <c:v>31.601149867640757</c:v>
                </c:pt>
                <c:pt idx="60">
                  <c:v>30.707427017533437</c:v>
                </c:pt>
                <c:pt idx="61">
                  <c:v>31.092176427015669</c:v>
                </c:pt>
                <c:pt idx="62">
                  <c:v>31.510086076491348</c:v>
                </c:pt>
                <c:pt idx="63">
                  <c:v>31.637191308040578</c:v>
                </c:pt>
                <c:pt idx="64">
                  <c:v>31.541153919695319</c:v>
                </c:pt>
                <c:pt idx="65">
                  <c:v>31.591636557200793</c:v>
                </c:pt>
                <c:pt idx="66">
                  <c:v>31.637231541719562</c:v>
                </c:pt>
                <c:pt idx="67">
                  <c:v>31.554952336228105</c:v>
                </c:pt>
                <c:pt idx="68">
                  <c:v>31.938908244187306</c:v>
                </c:pt>
                <c:pt idx="69">
                  <c:v>32.070119584682338</c:v>
                </c:pt>
                <c:pt idx="70">
                  <c:v>32.469614414805065</c:v>
                </c:pt>
                <c:pt idx="71">
                  <c:v>32.959272863667572</c:v>
                </c:pt>
                <c:pt idx="72">
                  <c:v>33.467832388933111</c:v>
                </c:pt>
                <c:pt idx="73">
                  <c:v>33.609515332920175</c:v>
                </c:pt>
              </c:numCache>
            </c:numRef>
          </c:val>
          <c:smooth val="0"/>
          <c:extLst>
            <c:ext xmlns:c16="http://schemas.microsoft.com/office/drawing/2014/chart" uri="{C3380CC4-5D6E-409C-BE32-E72D297353CC}">
              <c16:uniqueId val="{00000000-55C3-456A-83A2-7D67BEB5E632}"/>
            </c:ext>
          </c:extLst>
        </c:ser>
        <c:dLbls>
          <c:showLegendKey val="0"/>
          <c:showVal val="0"/>
          <c:showCatName val="0"/>
          <c:showSerName val="0"/>
          <c:showPercent val="0"/>
          <c:showBubbleSize val="0"/>
        </c:dLbls>
        <c:smooth val="0"/>
        <c:axId val="615092640"/>
        <c:axId val="1"/>
      </c:lineChart>
      <c:dateAx>
        <c:axId val="615092640"/>
        <c:scaling>
          <c:orientation val="minMax"/>
          <c:max val="44348"/>
          <c:min val="43252"/>
        </c:scaling>
        <c:delete val="0"/>
        <c:axPos val="b"/>
        <c:title>
          <c:tx>
            <c:rich>
              <a:bodyPr/>
              <a:lstStyle/>
              <a:p>
                <a:pPr>
                  <a:defRPr/>
                </a:pPr>
                <a:r>
                  <a:rPr lang="en-GB"/>
                  <a:t>Source: AHDB</a:t>
                </a:r>
              </a:p>
            </c:rich>
          </c:tx>
          <c:layout>
            <c:manualLayout>
              <c:xMode val="edge"/>
              <c:yMode val="edge"/>
              <c:x val="5.9243827160493281E-4"/>
              <c:y val="0.9557168981481482"/>
            </c:manualLayout>
          </c:layout>
          <c:overlay val="0"/>
        </c:title>
        <c:numFmt formatCode="mmm\-yy" sourceLinked="0"/>
        <c:majorTickMark val="none"/>
        <c:minorTickMark val="none"/>
        <c:tickLblPos val="nextTo"/>
        <c:spPr>
          <a:noFill/>
          <a:ln w="9525" cap="flat" cmpd="sng" algn="ctr">
            <a:solidFill>
              <a:schemeClr val="tx1">
                <a:lumMod val="15000"/>
                <a:lumOff val="85000"/>
              </a:schemeClr>
            </a:solidFill>
            <a:round/>
          </a:ln>
          <a:effectLst/>
        </c:spPr>
        <c:txPr>
          <a:bodyPr rot="-2700000" vert="horz"/>
          <a:lstStyle/>
          <a:p>
            <a:pPr>
              <a:defRPr/>
            </a:pPr>
            <a:endParaRPr lang="en-US"/>
          </a:p>
        </c:txPr>
        <c:crossAx val="1"/>
        <c:crosses val="autoZero"/>
        <c:auto val="1"/>
        <c:lblOffset val="100"/>
        <c:baseTimeUnit val="months"/>
        <c:majorUnit val="3"/>
        <c:majorTimeUnit val="months"/>
      </c:dateAx>
      <c:valAx>
        <c:axId val="1"/>
        <c:scaling>
          <c:orientation val="minMax"/>
          <c:max val="36"/>
          <c:min val="28"/>
        </c:scaling>
        <c:delete val="0"/>
        <c:axPos val="l"/>
        <c:majorGridlines>
          <c:spPr>
            <a:ln w="9525" cap="flat" cmpd="sng" algn="ctr">
              <a:solidFill>
                <a:schemeClr val="tx1">
                  <a:lumMod val="15000"/>
                  <a:lumOff val="85000"/>
                </a:schemeClr>
              </a:solidFill>
              <a:round/>
            </a:ln>
            <a:effectLst/>
          </c:spPr>
        </c:majorGridlines>
        <c:title>
          <c:tx>
            <c:rich>
              <a:bodyPr/>
              <a:lstStyle/>
              <a:p>
                <a:pPr>
                  <a:defRPr b="0"/>
                </a:pPr>
                <a:r>
                  <a:rPr lang="en-GB" b="0"/>
                  <a:t>ppl</a:t>
                </a:r>
              </a:p>
            </c:rich>
          </c:tx>
          <c:overlay val="0"/>
          <c:spPr>
            <a:noFill/>
            <a:ln w="25400">
              <a:noFill/>
            </a:ln>
          </c:spPr>
        </c:title>
        <c:numFmt formatCode="0" sourceLinked="0"/>
        <c:majorTickMark val="none"/>
        <c:minorTickMark val="none"/>
        <c:tickLblPos val="nextTo"/>
        <c:spPr>
          <a:ln w="9525">
            <a:noFill/>
          </a:ln>
        </c:spPr>
        <c:txPr>
          <a:bodyPr rot="0" vert="horz"/>
          <a:lstStyle/>
          <a:p>
            <a:pPr>
              <a:defRPr/>
            </a:pPr>
            <a:endParaRPr lang="en-US"/>
          </a:p>
        </c:txPr>
        <c:crossAx val="615092640"/>
        <c:crosses val="autoZero"/>
        <c:crossBetween val="between"/>
      </c:valAx>
      <c:spPr>
        <a:noFill/>
        <a:ln w="25400">
          <a:noFill/>
        </a:ln>
      </c:spPr>
    </c:plotArea>
    <c:legend>
      <c:legendPos val="b"/>
      <c:layout>
        <c:manualLayout>
          <c:xMode val="edge"/>
          <c:yMode val="edge"/>
          <c:x val="0.24579533121047331"/>
          <c:y val="6.9088271809811808E-2"/>
          <c:w val="0.42078731644029838"/>
          <c:h val="7.8996391076115446E-2"/>
        </c:manualLayout>
      </c:layout>
      <c:overlay val="0"/>
      <c:spPr>
        <a:noFill/>
        <a:ln w="25400">
          <a:noFill/>
        </a:ln>
      </c:spPr>
    </c:legend>
    <c:plotVisOnly val="1"/>
    <c:dispBlanksAs val="gap"/>
    <c:showDLblsOverMax val="0"/>
  </c:chart>
  <c:spPr>
    <a:solidFill>
      <a:schemeClr val="bg1"/>
    </a:solidFill>
    <a:ln w="9525" cap="flat" cmpd="sng" algn="ctr">
      <a:noFill/>
      <a:round/>
    </a:ln>
    <a:effectLst/>
  </c:spPr>
  <c:txPr>
    <a:bodyPr/>
    <a:lstStyle/>
    <a:p>
      <a:pPr>
        <a:defRPr sz="1200" b="0" i="0" u="none" strike="noStrike" baseline="0">
          <a:solidFill>
            <a:schemeClr val="tx1"/>
          </a:solidFill>
          <a:latin typeface="Arial"/>
          <a:ea typeface="Arial"/>
          <a:cs typeface="Arial"/>
        </a:defRPr>
      </a:pPr>
      <a:endParaRPr lang="en-US"/>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b="1"/>
            </a:pPr>
            <a:r>
              <a:rPr lang="en-GB" b="1"/>
              <a:t>AMPE</a:t>
            </a:r>
          </a:p>
        </c:rich>
      </c:tx>
      <c:layout>
        <c:manualLayout>
          <c:xMode val="edge"/>
          <c:yMode val="edge"/>
          <c:x val="0.43958028515256736"/>
          <c:y val="1.7698425350266573E-2"/>
        </c:manualLayout>
      </c:layout>
      <c:overlay val="0"/>
      <c:spPr>
        <a:noFill/>
        <a:ln w="25400">
          <a:noFill/>
        </a:ln>
      </c:spPr>
    </c:title>
    <c:autoTitleDeleted val="0"/>
    <c:plotArea>
      <c:layout>
        <c:manualLayout>
          <c:layoutTarget val="inner"/>
          <c:xMode val="edge"/>
          <c:yMode val="edge"/>
          <c:x val="8.7657098765432095E-2"/>
          <c:y val="0.14864766706784627"/>
          <c:w val="0.88138179012345674"/>
          <c:h val="0.65117420470888787"/>
        </c:manualLayout>
      </c:layout>
      <c:lineChart>
        <c:grouping val="standard"/>
        <c:varyColors val="0"/>
        <c:ser>
          <c:idx val="1"/>
          <c:order val="0"/>
          <c:tx>
            <c:v>AMPE-2014</c:v>
          </c:tx>
          <c:spPr>
            <a:ln w="28575"/>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 2014'!$C$72:$C$145</c:f>
              <c:numCache>
                <c:formatCode>#,##0.0</c:formatCode>
                <c:ptCount val="74"/>
                <c:pt idx="0">
                  <c:v>19.903298144962712</c:v>
                </c:pt>
                <c:pt idx="1">
                  <c:v>18.184635629822338</c:v>
                </c:pt>
                <c:pt idx="2">
                  <c:v>17.695254552294578</c:v>
                </c:pt>
                <c:pt idx="3">
                  <c:v>16.712606568043583</c:v>
                </c:pt>
                <c:pt idx="4">
                  <c:v>15.483325130430977</c:v>
                </c:pt>
                <c:pt idx="5">
                  <c:v>16.957297106807466</c:v>
                </c:pt>
                <c:pt idx="6">
                  <c:v>17.939945091058455</c:v>
                </c:pt>
                <c:pt idx="7">
                  <c:v>16.221282575918085</c:v>
                </c:pt>
                <c:pt idx="8">
                  <c:v>15.976592037154205</c:v>
                </c:pt>
                <c:pt idx="9">
                  <c:v>16.09990876383501</c:v>
                </c:pt>
                <c:pt idx="10">
                  <c:v>15.974649122556471</c:v>
                </c:pt>
                <c:pt idx="11">
                  <c:v>15.481382215833243</c:v>
                </c:pt>
                <c:pt idx="12">
                  <c:v>15.481382215833243</c:v>
                </c:pt>
                <c:pt idx="13">
                  <c:v>16.833980380126658</c:v>
                </c:pt>
                <c:pt idx="14">
                  <c:v>18.926478904504911</c:v>
                </c:pt>
                <c:pt idx="15">
                  <c:v>23.350337748232114</c:v>
                </c:pt>
                <c:pt idx="16">
                  <c:v>26.008538883663896</c:v>
                </c:pt>
                <c:pt idx="17">
                  <c:v>28.467101758889111</c:v>
                </c:pt>
                <c:pt idx="18">
                  <c:v>31.313283666941068</c:v>
                </c:pt>
                <c:pt idx="19">
                  <c:v>31.462040904797135</c:v>
                </c:pt>
                <c:pt idx="20">
                  <c:v>30.968773998073907</c:v>
                </c:pt>
                <c:pt idx="21">
                  <c:v>30.475507091350678</c:v>
                </c:pt>
                <c:pt idx="22">
                  <c:v>28.267463498682538</c:v>
                </c:pt>
                <c:pt idx="23">
                  <c:v>27.7858540795457</c:v>
                </c:pt>
                <c:pt idx="24">
                  <c:v>27.666423182060356</c:v>
                </c:pt>
                <c:pt idx="25">
                  <c:v>30.992088973246684</c:v>
                </c:pt>
                <c:pt idx="26">
                  <c:v>36.406367459615801</c:v>
                </c:pt>
                <c:pt idx="27">
                  <c:v>36.71243075955794</c:v>
                </c:pt>
                <c:pt idx="28">
                  <c:v>40.1175267476264</c:v>
                </c:pt>
                <c:pt idx="29">
                  <c:v>39.872836208862516</c:v>
                </c:pt>
                <c:pt idx="30">
                  <c:v>32.734066463559827</c:v>
                </c:pt>
                <c:pt idx="31">
                  <c:v>29.238088752537656</c:v>
                </c:pt>
                <c:pt idx="32">
                  <c:v>26.380249356899306</c:v>
                </c:pt>
                <c:pt idx="33">
                  <c:v>24.018008365501458</c:v>
                </c:pt>
                <c:pt idx="34">
                  <c:v>26.88128792201346</c:v>
                </c:pt>
                <c:pt idx="35">
                  <c:v>26.682426827645983</c:v>
                </c:pt>
                <c:pt idx="36">
                  <c:v>28.901739324980959</c:v>
                </c:pt>
                <c:pt idx="37">
                  <c:v>33.081684795783367</c:v>
                </c:pt>
                <c:pt idx="38">
                  <c:v>33.226556204443973</c:v>
                </c:pt>
                <c:pt idx="39">
                  <c:v>31.797636506624794</c:v>
                </c:pt>
                <c:pt idx="40">
                  <c:v>33.175675182093457</c:v>
                </c:pt>
                <c:pt idx="41">
                  <c:v>31.841523036423464</c:v>
                </c:pt>
                <c:pt idx="42">
                  <c:v>28.341659496205825</c:v>
                </c:pt>
                <c:pt idx="43">
                  <c:v>27.006730184696739</c:v>
                </c:pt>
                <c:pt idx="44">
                  <c:v>27.444453074034904</c:v>
                </c:pt>
                <c:pt idx="45">
                  <c:v>30.193535932420406</c:v>
                </c:pt>
                <c:pt idx="46">
                  <c:v>29.304101168640408</c:v>
                </c:pt>
                <c:pt idx="47">
                  <c:v>28.269794996199817</c:v>
                </c:pt>
                <c:pt idx="48">
                  <c:v>27.827409111827095</c:v>
                </c:pt>
                <c:pt idx="49">
                  <c:v>28.511765454526877</c:v>
                </c:pt>
                <c:pt idx="50">
                  <c:v>28.406117580630397</c:v>
                </c:pt>
                <c:pt idx="51">
                  <c:v>27.864301149073938</c:v>
                </c:pt>
                <c:pt idx="52">
                  <c:v>27.66388572302828</c:v>
                </c:pt>
                <c:pt idx="53">
                  <c:v>29.727057907035814</c:v>
                </c:pt>
                <c:pt idx="54">
                  <c:v>30.214107487046302</c:v>
                </c:pt>
                <c:pt idx="55">
                  <c:v>31.144320117268602</c:v>
                </c:pt>
                <c:pt idx="56">
                  <c:v>31.188983812906368</c:v>
                </c:pt>
                <c:pt idx="57">
                  <c:v>31.433285768750707</c:v>
                </c:pt>
                <c:pt idx="58">
                  <c:v>30.400533927988299</c:v>
                </c:pt>
                <c:pt idx="59">
                  <c:v>28.491559142710464</c:v>
                </c:pt>
                <c:pt idx="60">
                  <c:v>23.332462933932984</c:v>
                </c:pt>
                <c:pt idx="61">
                  <c:v>24.564075869062869</c:v>
                </c:pt>
                <c:pt idx="62">
                  <c:v>29.374776579777723</c:v>
                </c:pt>
                <c:pt idx="63">
                  <c:v>28.546325994256442</c:v>
                </c:pt>
                <c:pt idx="64">
                  <c:v>28.008395391895444</c:v>
                </c:pt>
                <c:pt idx="65">
                  <c:v>29.284672022663095</c:v>
                </c:pt>
                <c:pt idx="66">
                  <c:v>29.478870121996017</c:v>
                </c:pt>
                <c:pt idx="67">
                  <c:v>28.839177474934004</c:v>
                </c:pt>
                <c:pt idx="68">
                  <c:v>28.690420237077944</c:v>
                </c:pt>
                <c:pt idx="69">
                  <c:v>29.671513889650754</c:v>
                </c:pt>
                <c:pt idx="70">
                  <c:v>30.409082752218318</c:v>
                </c:pt>
                <c:pt idx="71">
                  <c:v>32.083858737560014</c:v>
                </c:pt>
                <c:pt idx="72">
                  <c:v>32.671893196432421</c:v>
                </c:pt>
                <c:pt idx="73">
                  <c:v>32.765883582742511</c:v>
                </c:pt>
              </c:numCache>
            </c:numRef>
          </c:val>
          <c:smooth val="0"/>
          <c:extLst>
            <c:ext xmlns:c16="http://schemas.microsoft.com/office/drawing/2014/chart" uri="{C3380CC4-5D6E-409C-BE32-E72D297353CC}">
              <c16:uniqueId val="{00000001-C98E-4F50-88CA-4B0423FEFA0A}"/>
            </c:ext>
          </c:extLst>
        </c:ser>
        <c:ser>
          <c:idx val="0"/>
          <c:order val="1"/>
          <c:tx>
            <c:strRef>
              <c:f>'AMPE-MCVE'!$C$7</c:f>
              <c:strCache>
                <c:ptCount val="1"/>
                <c:pt idx="0">
                  <c:v>AMPE</c:v>
                </c:pt>
              </c:strCache>
            </c:strRef>
          </c:tx>
          <c:spPr>
            <a:ln w="28575" cap="rnd">
              <a:solidFill>
                <a:schemeClr val="accent1"/>
              </a:solidFill>
              <a:round/>
            </a:ln>
            <a:effectLst/>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'AMPE-MCVE'!$C$9:$C$82</c:f>
              <c:numCache>
                <c:formatCode>#,##0.0</c:formatCode>
                <c:ptCount val="74"/>
                <c:pt idx="0">
                  <c:v>20.440046640791905</c:v>
                </c:pt>
                <c:pt idx="1">
                  <c:v>18.704992071694054</c:v>
                </c:pt>
                <c:pt idx="2">
                  <c:v>18.231990718689641</c:v>
                </c:pt>
                <c:pt idx="3">
                  <c:v>17.254071142493803</c:v>
                </c:pt>
                <c:pt idx="4">
                  <c:v>16.013668869796586</c:v>
                </c:pt>
                <c:pt idx="5">
                  <c:v>17.508614271826197</c:v>
                </c:pt>
                <c:pt idx="6">
                  <c:v>18.511392338588074</c:v>
                </c:pt>
                <c:pt idx="7">
                  <c:v>16.766715127980788</c:v>
                </c:pt>
                <c:pt idx="8">
                  <c:v>16.505756904308768</c:v>
                </c:pt>
                <c:pt idx="9">
                  <c:v>16.600913346899077</c:v>
                </c:pt>
                <c:pt idx="10">
                  <c:v>16.455317337139789</c:v>
                </c:pt>
                <c:pt idx="11">
                  <c:v>15.935965151684211</c:v>
                </c:pt>
                <c:pt idx="12">
                  <c:v>15.920729302627606</c:v>
                </c:pt>
                <c:pt idx="13">
                  <c:v>17.285155942443431</c:v>
                </c:pt>
                <c:pt idx="14">
                  <c:v>19.398540105725651</c:v>
                </c:pt>
                <c:pt idx="15">
                  <c:v>23.843202671436288</c:v>
                </c:pt>
                <c:pt idx="16">
                  <c:v>26.521549156521381</c:v>
                </c:pt>
                <c:pt idx="17">
                  <c:v>28.987919739651666</c:v>
                </c:pt>
                <c:pt idx="18">
                  <c:v>31.815368874621093</c:v>
                </c:pt>
                <c:pt idx="19">
                  <c:v>31.958553187314038</c:v>
                </c:pt>
                <c:pt idx="20">
                  <c:v>31.445616096198087</c:v>
                </c:pt>
                <c:pt idx="21">
                  <c:v>30.923056363572691</c:v>
                </c:pt>
                <c:pt idx="22">
                  <c:v>28.682924969772316</c:v>
                </c:pt>
                <c:pt idx="23">
                  <c:v>28.181540376009867</c:v>
                </c:pt>
                <c:pt idx="24">
                  <c:v>28.046932879078266</c:v>
                </c:pt>
                <c:pt idx="25">
                  <c:v>31.435843732414529</c:v>
                </c:pt>
                <c:pt idx="26">
                  <c:v>36.951127539223343</c:v>
                </c:pt>
                <c:pt idx="27">
                  <c:v>37.30979818468105</c:v>
                </c:pt>
                <c:pt idx="28">
                  <c:v>40.818128031267278</c:v>
                </c:pt>
                <c:pt idx="29">
                  <c:v>40.64778301514243</c:v>
                </c:pt>
                <c:pt idx="30">
                  <c:v>33.423342918860904</c:v>
                </c:pt>
                <c:pt idx="31">
                  <c:v>29.895985809519857</c:v>
                </c:pt>
                <c:pt idx="32">
                  <c:v>27.01849361115918</c:v>
                </c:pt>
                <c:pt idx="33">
                  <c:v>24.632032022253092</c:v>
                </c:pt>
                <c:pt idx="34">
                  <c:v>27.551962555856718</c:v>
                </c:pt>
                <c:pt idx="35">
                  <c:v>27.342841726052512</c:v>
                </c:pt>
                <c:pt idx="36">
                  <c:v>29.590692420753729</c:v>
                </c:pt>
                <c:pt idx="37">
                  <c:v>33.795695231169375</c:v>
                </c:pt>
                <c:pt idx="38">
                  <c:v>33.906962673675309</c:v>
                </c:pt>
                <c:pt idx="39">
                  <c:v>32.407273178268554</c:v>
                </c:pt>
                <c:pt idx="40">
                  <c:v>33.777227688187018</c:v>
                </c:pt>
                <c:pt idx="41">
                  <c:v>32.408671004967374</c:v>
                </c:pt>
                <c:pt idx="42">
                  <c:v>28.829349855627996</c:v>
                </c:pt>
                <c:pt idx="43">
                  <c:v>27.458739987050201</c:v>
                </c:pt>
                <c:pt idx="44">
                  <c:v>27.8809437352459</c:v>
                </c:pt>
                <c:pt idx="45">
                  <c:v>30.666525030255627</c:v>
                </c:pt>
                <c:pt idx="46">
                  <c:v>29.773933782323041</c:v>
                </c:pt>
                <c:pt idx="47">
                  <c:v>28.727575091884525</c:v>
                </c:pt>
                <c:pt idx="48">
                  <c:v>28.289042797577615</c:v>
                </c:pt>
                <c:pt idx="49">
                  <c:v>28.999389619633174</c:v>
                </c:pt>
                <c:pt idx="50">
                  <c:v>28.90606881620543</c:v>
                </c:pt>
                <c:pt idx="51">
                  <c:v>28.356160069260564</c:v>
                </c:pt>
                <c:pt idx="52">
                  <c:v>28.153357397041923</c:v>
                </c:pt>
                <c:pt idx="53">
                  <c:v>30.26698549927977</c:v>
                </c:pt>
                <c:pt idx="54">
                  <c:v>30.785949937719138</c:v>
                </c:pt>
                <c:pt idx="55">
                  <c:v>31.729462119974528</c:v>
                </c:pt>
                <c:pt idx="56">
                  <c:v>31.777818792408869</c:v>
                </c:pt>
                <c:pt idx="57">
                  <c:v>32.013292876232001</c:v>
                </c:pt>
                <c:pt idx="58">
                  <c:v>30.95179527349093</c:v>
                </c:pt>
                <c:pt idx="59">
                  <c:v>28.980487932396535</c:v>
                </c:pt>
                <c:pt idx="60">
                  <c:v>23.688526578009967</c:v>
                </c:pt>
                <c:pt idx="61">
                  <c:v>24.857305387913733</c:v>
                </c:pt>
                <c:pt idx="62">
                  <c:v>29.669012188029892</c:v>
                </c:pt>
                <c:pt idx="63">
                  <c:v>28.761243561656748</c:v>
                </c:pt>
                <c:pt idx="64">
                  <c:v>28.242653860793524</c:v>
                </c:pt>
                <c:pt idx="65">
                  <c:v>29.544585280444558</c:v>
                </c:pt>
                <c:pt idx="66">
                  <c:v>29.748603979231888</c:v>
                </c:pt>
                <c:pt idx="67">
                  <c:v>29.149160999421991</c:v>
                </c:pt>
                <c:pt idx="68">
                  <c:v>29.048730838667346</c:v>
                </c:pt>
                <c:pt idx="69">
                  <c:v>30.095637397052336</c:v>
                </c:pt>
                <c:pt idx="70">
                  <c:v>30.846460647980006</c:v>
                </c:pt>
                <c:pt idx="71">
                  <c:v>32.544882710527844</c:v>
                </c:pt>
                <c:pt idx="72">
                  <c:v>33.108931375655743</c:v>
                </c:pt>
                <c:pt idx="73">
                  <c:v>33.203517277556983</c:v>
                </c:pt>
              </c:numCache>
            </c:numRef>
          </c:val>
          <c:smooth val="0"/>
          <c:extLst>
            <c:ext xmlns:c16="http://schemas.microsoft.com/office/drawing/2014/chart" uri="{C3380CC4-5D6E-409C-BE32-E72D297353CC}">
              <c16:uniqueId val="{00000000-C98E-4F50-88CA-4B0423FEFA0A}"/>
            </c:ext>
          </c:extLst>
        </c:ser>
        <c:dLbls>
          <c:showLegendKey val="0"/>
          <c:showVal val="0"/>
          <c:showCatName val="0"/>
          <c:showSerName val="0"/>
          <c:showPercent val="0"/>
          <c:showBubbleSize val="0"/>
        </c:dLbls>
        <c:smooth val="0"/>
        <c:axId val="615092640"/>
        <c:axId val="1"/>
      </c:lineChart>
      <c:dateAx>
        <c:axId val="615092640"/>
        <c:scaling>
          <c:orientation val="minMax"/>
          <c:max val="44348"/>
          <c:min val="43252"/>
        </c:scaling>
        <c:delete val="0"/>
        <c:axPos val="b"/>
        <c:title>
          <c:tx>
            <c:rich>
              <a:bodyPr/>
              <a:lstStyle/>
              <a:p>
                <a:pPr>
                  <a:defRPr/>
                </a:pPr>
                <a:r>
                  <a:rPr lang="en-GB"/>
                  <a:t>Source: AHDB</a:t>
                </a:r>
              </a:p>
            </c:rich>
          </c:tx>
          <c:layout>
            <c:manualLayout>
              <c:xMode val="edge"/>
              <c:yMode val="edge"/>
              <c:x val="5.9243827160493281E-4"/>
              <c:y val="0.9557168981481482"/>
            </c:manualLayout>
          </c:layout>
          <c:overlay val="0"/>
        </c:title>
        <c:numFmt formatCode="mmm\-yy" sourceLinked="0"/>
        <c:majorTickMark val="none"/>
        <c:minorTickMark val="none"/>
        <c:tickLblPos val="nextTo"/>
        <c:spPr>
          <a:noFill/>
          <a:ln w="9525" cap="flat" cmpd="sng" algn="ctr">
            <a:solidFill>
              <a:schemeClr val="tx1">
                <a:lumMod val="15000"/>
                <a:lumOff val="85000"/>
              </a:schemeClr>
            </a:solidFill>
            <a:round/>
          </a:ln>
          <a:effectLst/>
        </c:spPr>
        <c:txPr>
          <a:bodyPr rot="-2700000" vert="horz"/>
          <a:lstStyle/>
          <a:p>
            <a:pPr>
              <a:defRPr/>
            </a:pPr>
            <a:endParaRPr lang="en-US"/>
          </a:p>
        </c:txPr>
        <c:crossAx val="1"/>
        <c:crosses val="autoZero"/>
        <c:auto val="1"/>
        <c:lblOffset val="100"/>
        <c:baseTimeUnit val="months"/>
        <c:majorUnit val="3"/>
        <c:majorTimeUnit val="months"/>
      </c:dateAx>
      <c:valAx>
        <c:axId val="1"/>
        <c:scaling>
          <c:orientation val="minMax"/>
          <c:max val="40"/>
          <c:min val="20"/>
        </c:scaling>
        <c:delete val="0"/>
        <c:axPos val="l"/>
        <c:majorGridlines>
          <c:spPr>
            <a:ln w="9525" cap="flat" cmpd="sng" algn="ctr">
              <a:solidFill>
                <a:schemeClr val="tx1">
                  <a:lumMod val="15000"/>
                  <a:lumOff val="85000"/>
                </a:schemeClr>
              </a:solidFill>
              <a:round/>
            </a:ln>
            <a:effectLst/>
          </c:spPr>
        </c:majorGridlines>
        <c:title>
          <c:tx>
            <c:rich>
              <a:bodyPr/>
              <a:lstStyle/>
              <a:p>
                <a:pPr>
                  <a:defRPr b="0"/>
                </a:pPr>
                <a:r>
                  <a:rPr lang="en-GB" b="0"/>
                  <a:t>ppl</a:t>
                </a:r>
              </a:p>
            </c:rich>
          </c:tx>
          <c:overlay val="0"/>
          <c:spPr>
            <a:noFill/>
            <a:ln w="25400">
              <a:noFill/>
            </a:ln>
          </c:spPr>
        </c:title>
        <c:numFmt formatCode="0" sourceLinked="0"/>
        <c:majorTickMark val="none"/>
        <c:minorTickMark val="none"/>
        <c:tickLblPos val="nextTo"/>
        <c:spPr>
          <a:ln w="9525">
            <a:noFill/>
          </a:ln>
        </c:spPr>
        <c:txPr>
          <a:bodyPr rot="0" vert="horz"/>
          <a:lstStyle/>
          <a:p>
            <a:pPr>
              <a:defRPr/>
            </a:pPr>
            <a:endParaRPr lang="en-US"/>
          </a:p>
        </c:txPr>
        <c:crossAx val="615092640"/>
        <c:crosses val="autoZero"/>
        <c:crossBetween val="between"/>
      </c:valAx>
      <c:spPr>
        <a:noFill/>
        <a:ln w="25400">
          <a:noFill/>
        </a:ln>
      </c:spPr>
    </c:plotArea>
    <c:legend>
      <c:legendPos val="b"/>
      <c:layout>
        <c:manualLayout>
          <c:xMode val="edge"/>
          <c:yMode val="edge"/>
          <c:x val="0.27889698364066967"/>
          <c:y val="6.9088271809811808E-2"/>
          <c:w val="0.46946621707294001"/>
          <c:h val="7.8996391076115446E-2"/>
        </c:manualLayout>
      </c:layout>
      <c:overlay val="0"/>
      <c:spPr>
        <a:noFill/>
        <a:ln w="25400">
          <a:noFill/>
        </a:ln>
      </c:spPr>
    </c:legend>
    <c:plotVisOnly val="1"/>
    <c:dispBlanksAs val="gap"/>
    <c:showDLblsOverMax val="0"/>
  </c:chart>
  <c:spPr>
    <a:solidFill>
      <a:schemeClr val="bg1"/>
    </a:solidFill>
    <a:ln w="9525" cap="flat" cmpd="sng" algn="ctr">
      <a:noFill/>
      <a:round/>
    </a:ln>
    <a:effectLst/>
  </c:spPr>
  <c:txPr>
    <a:bodyPr/>
    <a:lstStyle/>
    <a:p>
      <a:pPr>
        <a:defRPr sz="1200" b="0" i="0" u="none" strike="noStrike" baseline="0">
          <a:solidFill>
            <a:schemeClr val="tx1"/>
          </a:solidFill>
          <a:latin typeface="Arial"/>
          <a:ea typeface="Arial"/>
          <a:cs typeface="Arial"/>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b="1"/>
            </a:pPr>
            <a:r>
              <a:rPr lang="en-GB" b="1"/>
              <a:t>AMPE-2020</a:t>
            </a:r>
            <a:r>
              <a:rPr lang="en-GB" b="1" baseline="0"/>
              <a:t> and MCVE-2020</a:t>
            </a:r>
            <a:endParaRPr lang="en-GB" b="1"/>
          </a:p>
        </c:rich>
      </c:tx>
      <c:layout>
        <c:manualLayout>
          <c:xMode val="edge"/>
          <c:yMode val="edge"/>
          <c:x val="0.28380780312811388"/>
          <c:y val="1.4699092524694309E-2"/>
        </c:manualLayout>
      </c:layout>
      <c:overlay val="0"/>
      <c:spPr>
        <a:noFill/>
        <a:ln w="25400">
          <a:noFill/>
        </a:ln>
      </c:spPr>
    </c:title>
    <c:autoTitleDeleted val="0"/>
    <c:plotArea>
      <c:layout>
        <c:manualLayout>
          <c:layoutTarget val="inner"/>
          <c:xMode val="edge"/>
          <c:yMode val="edge"/>
          <c:x val="8.7657098765432095E-2"/>
          <c:y val="0.14864766706784627"/>
          <c:w val="0.88138179012345674"/>
          <c:h val="0.65117420470888787"/>
        </c:manualLayout>
      </c:layout>
      <c:lineChart>
        <c:grouping val="standard"/>
        <c:varyColors val="0"/>
        <c:ser>
          <c:idx val="0"/>
          <c:order val="0"/>
          <c:tx>
            <c:v>AMPE-2020</c:v>
          </c:tx>
          <c:spPr>
            <a:ln w="28575"/>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'AMPE-MCVE'!$C$9:$C$82</c:f>
              <c:numCache>
                <c:formatCode>#,##0.0</c:formatCode>
                <c:ptCount val="74"/>
                <c:pt idx="0">
                  <c:v>20.440046640791905</c:v>
                </c:pt>
                <c:pt idx="1">
                  <c:v>18.704992071694054</c:v>
                </c:pt>
                <c:pt idx="2">
                  <c:v>18.231990718689641</c:v>
                </c:pt>
                <c:pt idx="3">
                  <c:v>17.254071142493803</c:v>
                </c:pt>
                <c:pt idx="4">
                  <c:v>16.013668869796586</c:v>
                </c:pt>
                <c:pt idx="5">
                  <c:v>17.508614271826197</c:v>
                </c:pt>
                <c:pt idx="6">
                  <c:v>18.511392338588074</c:v>
                </c:pt>
                <c:pt idx="7">
                  <c:v>16.766715127980788</c:v>
                </c:pt>
                <c:pt idx="8">
                  <c:v>16.505756904308768</c:v>
                </c:pt>
                <c:pt idx="9">
                  <c:v>16.600913346899077</c:v>
                </c:pt>
                <c:pt idx="10">
                  <c:v>16.455317337139789</c:v>
                </c:pt>
                <c:pt idx="11">
                  <c:v>15.935965151684211</c:v>
                </c:pt>
                <c:pt idx="12">
                  <c:v>15.920729302627606</c:v>
                </c:pt>
                <c:pt idx="13">
                  <c:v>17.285155942443431</c:v>
                </c:pt>
                <c:pt idx="14">
                  <c:v>19.398540105725651</c:v>
                </c:pt>
                <c:pt idx="15">
                  <c:v>23.843202671436288</c:v>
                </c:pt>
                <c:pt idx="16">
                  <c:v>26.521549156521381</c:v>
                </c:pt>
                <c:pt idx="17">
                  <c:v>28.987919739651666</c:v>
                </c:pt>
                <c:pt idx="18">
                  <c:v>31.815368874621093</c:v>
                </c:pt>
                <c:pt idx="19">
                  <c:v>31.958553187314038</c:v>
                </c:pt>
                <c:pt idx="20">
                  <c:v>31.445616096198087</c:v>
                </c:pt>
                <c:pt idx="21">
                  <c:v>30.923056363572691</c:v>
                </c:pt>
                <c:pt idx="22">
                  <c:v>28.682924969772316</c:v>
                </c:pt>
                <c:pt idx="23">
                  <c:v>28.181540376009867</c:v>
                </c:pt>
                <c:pt idx="24">
                  <c:v>28.046932879078266</c:v>
                </c:pt>
                <c:pt idx="25">
                  <c:v>31.435843732414529</c:v>
                </c:pt>
                <c:pt idx="26">
                  <c:v>36.951127539223343</c:v>
                </c:pt>
                <c:pt idx="27">
                  <c:v>37.30979818468105</c:v>
                </c:pt>
                <c:pt idx="28">
                  <c:v>40.818128031267278</c:v>
                </c:pt>
                <c:pt idx="29">
                  <c:v>40.64778301514243</c:v>
                </c:pt>
                <c:pt idx="30">
                  <c:v>33.423342918860904</c:v>
                </c:pt>
                <c:pt idx="31">
                  <c:v>29.895985809519857</c:v>
                </c:pt>
                <c:pt idx="32">
                  <c:v>27.01849361115918</c:v>
                </c:pt>
                <c:pt idx="33">
                  <c:v>24.632032022253092</c:v>
                </c:pt>
                <c:pt idx="34">
                  <c:v>27.551962555856718</c:v>
                </c:pt>
                <c:pt idx="35">
                  <c:v>27.342841726052512</c:v>
                </c:pt>
                <c:pt idx="36">
                  <c:v>29.590692420753729</c:v>
                </c:pt>
                <c:pt idx="37">
                  <c:v>33.795695231169375</c:v>
                </c:pt>
                <c:pt idx="38">
                  <c:v>33.906962673675309</c:v>
                </c:pt>
                <c:pt idx="39">
                  <c:v>32.407273178268554</c:v>
                </c:pt>
                <c:pt idx="40">
                  <c:v>33.777227688187018</c:v>
                </c:pt>
                <c:pt idx="41">
                  <c:v>32.408671004967374</c:v>
                </c:pt>
                <c:pt idx="42">
                  <c:v>28.829349855627996</c:v>
                </c:pt>
                <c:pt idx="43">
                  <c:v>27.458739987050201</c:v>
                </c:pt>
                <c:pt idx="44">
                  <c:v>27.8809437352459</c:v>
                </c:pt>
                <c:pt idx="45">
                  <c:v>30.666525030255627</c:v>
                </c:pt>
                <c:pt idx="46">
                  <c:v>29.773933782323041</c:v>
                </c:pt>
                <c:pt idx="47">
                  <c:v>28.727575091884525</c:v>
                </c:pt>
                <c:pt idx="48">
                  <c:v>28.289042797577615</c:v>
                </c:pt>
                <c:pt idx="49">
                  <c:v>28.999389619633174</c:v>
                </c:pt>
                <c:pt idx="50">
                  <c:v>28.90606881620543</c:v>
                </c:pt>
                <c:pt idx="51">
                  <c:v>28.356160069260564</c:v>
                </c:pt>
                <c:pt idx="52">
                  <c:v>28.153357397041923</c:v>
                </c:pt>
                <c:pt idx="53">
                  <c:v>30.26698549927977</c:v>
                </c:pt>
                <c:pt idx="54">
                  <c:v>30.785949937719138</c:v>
                </c:pt>
                <c:pt idx="55">
                  <c:v>31.729462119974528</c:v>
                </c:pt>
                <c:pt idx="56">
                  <c:v>31.777818792408869</c:v>
                </c:pt>
                <c:pt idx="57">
                  <c:v>32.013292876232001</c:v>
                </c:pt>
                <c:pt idx="58">
                  <c:v>30.95179527349093</c:v>
                </c:pt>
                <c:pt idx="59">
                  <c:v>28.980487932396535</c:v>
                </c:pt>
                <c:pt idx="60">
                  <c:v>23.688526578009967</c:v>
                </c:pt>
                <c:pt idx="61">
                  <c:v>24.857305387913733</c:v>
                </c:pt>
                <c:pt idx="62">
                  <c:v>29.669012188029892</c:v>
                </c:pt>
                <c:pt idx="63">
                  <c:v>28.761243561656748</c:v>
                </c:pt>
                <c:pt idx="64">
                  <c:v>28.242653860793524</c:v>
                </c:pt>
                <c:pt idx="65">
                  <c:v>29.544585280444558</c:v>
                </c:pt>
                <c:pt idx="66">
                  <c:v>29.748603979231888</c:v>
                </c:pt>
                <c:pt idx="67">
                  <c:v>29.149160999421991</c:v>
                </c:pt>
                <c:pt idx="68">
                  <c:v>29.048730838667346</c:v>
                </c:pt>
                <c:pt idx="69">
                  <c:v>30.095637397052336</c:v>
                </c:pt>
                <c:pt idx="70">
                  <c:v>30.846460647980006</c:v>
                </c:pt>
                <c:pt idx="71">
                  <c:v>32.544882710527844</c:v>
                </c:pt>
                <c:pt idx="72">
                  <c:v>33.108931375655743</c:v>
                </c:pt>
                <c:pt idx="73">
                  <c:v>33.203517277556983</c:v>
                </c:pt>
              </c:numCache>
            </c:numRef>
          </c:val>
          <c:smooth val="0"/>
          <c:extLst>
            <c:ext xmlns:c16="http://schemas.microsoft.com/office/drawing/2014/chart" uri="{C3380CC4-5D6E-409C-BE32-E72D297353CC}">
              <c16:uniqueId val="{00000001-0F73-4AE9-A006-15346E207611}"/>
            </c:ext>
          </c:extLst>
        </c:ser>
        <c:ser>
          <c:idx val="1"/>
          <c:order val="1"/>
          <c:tx>
            <c:v>MCVE-2020</c:v>
          </c:tx>
          <c:spPr>
            <a:ln w="28575" cap="rnd">
              <a:solidFill>
                <a:schemeClr val="accent2"/>
              </a:solidFill>
              <a:round/>
            </a:ln>
            <a:effectLst/>
          </c:spPr>
          <c:marker>
            <c:symbol val="none"/>
          </c:marker>
          <c:cat>
            <c:numRef>
              <c:f>'AMPE-MCVE'!$B$9:$B$82</c:f>
              <c:numCache>
                <c:formatCode>mmm\-yy</c:formatCode>
                <c:ptCount val="74"/>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numCache>
            </c:numRef>
          </c:cat>
          <c:val>
            <c:numRef>
              <c:f>'AMPE-MCVE'!$D$9:$D$82</c:f>
              <c:numCache>
                <c:formatCode>#,##0.0</c:formatCode>
                <c:ptCount val="74"/>
                <c:pt idx="0">
                  <c:v>24.970627084613938</c:v>
                </c:pt>
                <c:pt idx="1">
                  <c:v>24.798809646319796</c:v>
                </c:pt>
                <c:pt idx="2">
                  <c:v>24.355695873864708</c:v>
                </c:pt>
                <c:pt idx="3">
                  <c:v>23.002257525955859</c:v>
                </c:pt>
                <c:pt idx="4">
                  <c:v>20.491496572494249</c:v>
                </c:pt>
                <c:pt idx="5">
                  <c:v>20.658754729351266</c:v>
                </c:pt>
                <c:pt idx="6">
                  <c:v>21.055161689486212</c:v>
                </c:pt>
                <c:pt idx="7">
                  <c:v>19.399300512296232</c:v>
                </c:pt>
                <c:pt idx="8">
                  <c:v>19.290729853613598</c:v>
                </c:pt>
                <c:pt idx="9">
                  <c:v>18.04199920074084</c:v>
                </c:pt>
                <c:pt idx="10">
                  <c:v>17.725121494293642</c:v>
                </c:pt>
                <c:pt idx="11">
                  <c:v>16.502734518366111</c:v>
                </c:pt>
                <c:pt idx="12">
                  <c:v>15.979168843167058</c:v>
                </c:pt>
                <c:pt idx="13">
                  <c:v>16.847587257528364</c:v>
                </c:pt>
                <c:pt idx="14">
                  <c:v>19.997987685955348</c:v>
                </c:pt>
                <c:pt idx="15">
                  <c:v>24.00736802048543</c:v>
                </c:pt>
                <c:pt idx="16">
                  <c:v>28.584441823846809</c:v>
                </c:pt>
                <c:pt idx="17">
                  <c:v>33.062379104199003</c:v>
                </c:pt>
                <c:pt idx="18">
                  <c:v>34.644322249513301</c:v>
                </c:pt>
                <c:pt idx="19">
                  <c:v>34.377706914683095</c:v>
                </c:pt>
                <c:pt idx="20">
                  <c:v>34.227069025680613</c:v>
                </c:pt>
                <c:pt idx="21">
                  <c:v>34.402440783384719</c:v>
                </c:pt>
                <c:pt idx="22">
                  <c:v>32.932254455441303</c:v>
                </c:pt>
                <c:pt idx="23">
                  <c:v>32.738610091181343</c:v>
                </c:pt>
                <c:pt idx="24">
                  <c:v>32.438223176321706</c:v>
                </c:pt>
                <c:pt idx="25">
                  <c:v>33.989657822615825</c:v>
                </c:pt>
                <c:pt idx="26">
                  <c:v>37.702767519487963</c:v>
                </c:pt>
                <c:pt idx="27">
                  <c:v>37.937754582009923</c:v>
                </c:pt>
                <c:pt idx="28">
                  <c:v>39.547236211222696</c:v>
                </c:pt>
                <c:pt idx="29">
                  <c:v>39.331052144630597</c:v>
                </c:pt>
                <c:pt idx="30">
                  <c:v>37.390905629142139</c:v>
                </c:pt>
                <c:pt idx="31">
                  <c:v>35.599517422164517</c:v>
                </c:pt>
                <c:pt idx="32">
                  <c:v>32.529791178836646</c:v>
                </c:pt>
                <c:pt idx="33">
                  <c:v>30.718787752187932</c:v>
                </c:pt>
                <c:pt idx="34">
                  <c:v>31.958651512686234</c:v>
                </c:pt>
                <c:pt idx="35">
                  <c:v>31.698280470471545</c:v>
                </c:pt>
                <c:pt idx="36">
                  <c:v>32.04554697431778</c:v>
                </c:pt>
                <c:pt idx="37">
                  <c:v>33.021125000473454</c:v>
                </c:pt>
                <c:pt idx="38">
                  <c:v>33.477331313786259</c:v>
                </c:pt>
                <c:pt idx="39">
                  <c:v>34.080607589832397</c:v>
                </c:pt>
                <c:pt idx="40">
                  <c:v>34.338494842887258</c:v>
                </c:pt>
                <c:pt idx="41">
                  <c:v>34.343517267063305</c:v>
                </c:pt>
                <c:pt idx="42">
                  <c:v>33.343698091791225</c:v>
                </c:pt>
                <c:pt idx="43">
                  <c:v>31.69827413343776</c:v>
                </c:pt>
                <c:pt idx="44">
                  <c:v>31.677698640168071</c:v>
                </c:pt>
                <c:pt idx="45">
                  <c:v>32.233987899296558</c:v>
                </c:pt>
                <c:pt idx="46">
                  <c:v>32.059813760257562</c:v>
                </c:pt>
                <c:pt idx="47">
                  <c:v>31.435398946518649</c:v>
                </c:pt>
                <c:pt idx="48">
                  <c:v>31.176327455001548</c:v>
                </c:pt>
                <c:pt idx="49">
                  <c:v>31.062585549057339</c:v>
                </c:pt>
                <c:pt idx="50">
                  <c:v>30.980035411770938</c:v>
                </c:pt>
                <c:pt idx="51">
                  <c:v>30.630539978734568</c:v>
                </c:pt>
                <c:pt idx="52">
                  <c:v>30.528322734686078</c:v>
                </c:pt>
                <c:pt idx="53">
                  <c:v>30.509077362990446</c:v>
                </c:pt>
                <c:pt idx="54">
                  <c:v>30.691956375696741</c:v>
                </c:pt>
                <c:pt idx="55">
                  <c:v>30.807046999327529</c:v>
                </c:pt>
                <c:pt idx="56">
                  <c:v>30.765737983700244</c:v>
                </c:pt>
                <c:pt idx="57">
                  <c:v>30.812817898991614</c:v>
                </c:pt>
                <c:pt idx="58">
                  <c:v>31.175246567279967</c:v>
                </c:pt>
                <c:pt idx="59">
                  <c:v>31.601149867640757</c:v>
                </c:pt>
                <c:pt idx="60">
                  <c:v>30.707427017533437</c:v>
                </c:pt>
                <c:pt idx="61">
                  <c:v>31.092176427015669</c:v>
                </c:pt>
                <c:pt idx="62">
                  <c:v>31.510086076491348</c:v>
                </c:pt>
                <c:pt idx="63">
                  <c:v>31.637191308040578</c:v>
                </c:pt>
                <c:pt idx="64">
                  <c:v>31.541153919695319</c:v>
                </c:pt>
                <c:pt idx="65">
                  <c:v>31.591636557200793</c:v>
                </c:pt>
                <c:pt idx="66">
                  <c:v>31.637231541719562</c:v>
                </c:pt>
                <c:pt idx="67">
                  <c:v>31.554952336228105</c:v>
                </c:pt>
                <c:pt idx="68">
                  <c:v>31.938908244187306</c:v>
                </c:pt>
                <c:pt idx="69">
                  <c:v>32.070119584682338</c:v>
                </c:pt>
                <c:pt idx="70">
                  <c:v>32.469614414805065</c:v>
                </c:pt>
                <c:pt idx="71">
                  <c:v>32.959272863667572</c:v>
                </c:pt>
                <c:pt idx="72">
                  <c:v>33.467832388933111</c:v>
                </c:pt>
                <c:pt idx="73">
                  <c:v>33.609515332920175</c:v>
                </c:pt>
              </c:numCache>
            </c:numRef>
          </c:val>
          <c:smooth val="0"/>
          <c:extLst>
            <c:ext xmlns:c16="http://schemas.microsoft.com/office/drawing/2014/chart" uri="{C3380CC4-5D6E-409C-BE32-E72D297353CC}">
              <c16:uniqueId val="{00000000-0F73-4AE9-A006-15346E207611}"/>
            </c:ext>
          </c:extLst>
        </c:ser>
        <c:dLbls>
          <c:showLegendKey val="0"/>
          <c:showVal val="0"/>
          <c:showCatName val="0"/>
          <c:showSerName val="0"/>
          <c:showPercent val="0"/>
          <c:showBubbleSize val="0"/>
        </c:dLbls>
        <c:smooth val="0"/>
        <c:axId val="615092640"/>
        <c:axId val="1"/>
      </c:lineChart>
      <c:dateAx>
        <c:axId val="615092640"/>
        <c:scaling>
          <c:orientation val="minMax"/>
          <c:max val="44348"/>
          <c:min val="43252"/>
        </c:scaling>
        <c:delete val="0"/>
        <c:axPos val="b"/>
        <c:title>
          <c:tx>
            <c:rich>
              <a:bodyPr/>
              <a:lstStyle/>
              <a:p>
                <a:pPr>
                  <a:defRPr/>
                </a:pPr>
                <a:r>
                  <a:rPr lang="en-GB"/>
                  <a:t>Source: AHDB</a:t>
                </a:r>
              </a:p>
            </c:rich>
          </c:tx>
          <c:layout>
            <c:manualLayout>
              <c:xMode val="edge"/>
              <c:yMode val="edge"/>
              <c:x val="5.9243827160493281E-4"/>
              <c:y val="0.9557168981481482"/>
            </c:manualLayout>
          </c:layout>
          <c:overlay val="0"/>
        </c:title>
        <c:numFmt formatCode="mmm\-yy" sourceLinked="0"/>
        <c:majorTickMark val="none"/>
        <c:minorTickMark val="none"/>
        <c:tickLblPos val="nextTo"/>
        <c:spPr>
          <a:noFill/>
          <a:ln w="9525" cap="flat" cmpd="sng" algn="ctr">
            <a:solidFill>
              <a:schemeClr val="tx1">
                <a:lumMod val="15000"/>
                <a:lumOff val="85000"/>
              </a:schemeClr>
            </a:solidFill>
            <a:round/>
          </a:ln>
          <a:effectLst/>
        </c:spPr>
        <c:txPr>
          <a:bodyPr rot="-2700000" vert="horz"/>
          <a:lstStyle/>
          <a:p>
            <a:pPr>
              <a:defRPr/>
            </a:pPr>
            <a:endParaRPr lang="en-US"/>
          </a:p>
        </c:txPr>
        <c:crossAx val="1"/>
        <c:crosses val="autoZero"/>
        <c:auto val="1"/>
        <c:lblOffset val="100"/>
        <c:baseTimeUnit val="months"/>
        <c:majorUnit val="3"/>
        <c:majorTimeUnit val="months"/>
      </c:dateAx>
      <c:valAx>
        <c:axId val="1"/>
        <c:scaling>
          <c:orientation val="minMax"/>
          <c:max val="40"/>
          <c:min val="20"/>
        </c:scaling>
        <c:delete val="0"/>
        <c:axPos val="l"/>
        <c:majorGridlines>
          <c:spPr>
            <a:ln w="9525" cap="flat" cmpd="sng" algn="ctr">
              <a:solidFill>
                <a:schemeClr val="tx1">
                  <a:lumMod val="15000"/>
                  <a:lumOff val="85000"/>
                </a:schemeClr>
              </a:solidFill>
              <a:round/>
            </a:ln>
            <a:effectLst/>
          </c:spPr>
        </c:majorGridlines>
        <c:title>
          <c:tx>
            <c:rich>
              <a:bodyPr/>
              <a:lstStyle/>
              <a:p>
                <a:pPr>
                  <a:defRPr b="0"/>
                </a:pPr>
                <a:r>
                  <a:rPr lang="en-GB" b="0"/>
                  <a:t>ppl</a:t>
                </a:r>
              </a:p>
            </c:rich>
          </c:tx>
          <c:overlay val="0"/>
          <c:spPr>
            <a:noFill/>
            <a:ln w="25400">
              <a:noFill/>
            </a:ln>
          </c:spPr>
        </c:title>
        <c:numFmt formatCode="0" sourceLinked="0"/>
        <c:majorTickMark val="none"/>
        <c:minorTickMark val="none"/>
        <c:tickLblPos val="nextTo"/>
        <c:spPr>
          <a:ln w="9525">
            <a:noFill/>
          </a:ln>
        </c:spPr>
        <c:txPr>
          <a:bodyPr rot="0" vert="horz"/>
          <a:lstStyle/>
          <a:p>
            <a:pPr>
              <a:defRPr/>
            </a:pPr>
            <a:endParaRPr lang="en-US"/>
          </a:p>
        </c:txPr>
        <c:crossAx val="615092640"/>
        <c:crosses val="autoZero"/>
        <c:crossBetween val="between"/>
      </c:valAx>
      <c:spPr>
        <a:noFill/>
        <a:ln w="25400">
          <a:noFill/>
        </a:ln>
      </c:spPr>
    </c:plotArea>
    <c:legend>
      <c:legendPos val="b"/>
      <c:layout>
        <c:manualLayout>
          <c:xMode val="edge"/>
          <c:yMode val="edge"/>
          <c:x val="0.24579533121047331"/>
          <c:y val="6.9088271809811808E-2"/>
          <c:w val="0.42078731644029838"/>
          <c:h val="7.8996391076115446E-2"/>
        </c:manualLayout>
      </c:layout>
      <c:overlay val="0"/>
      <c:spPr>
        <a:noFill/>
        <a:ln w="25400">
          <a:noFill/>
        </a:ln>
      </c:spPr>
    </c:legend>
    <c:plotVisOnly val="1"/>
    <c:dispBlanksAs val="gap"/>
    <c:showDLblsOverMax val="0"/>
  </c:chart>
  <c:spPr>
    <a:solidFill>
      <a:schemeClr val="bg1"/>
    </a:solidFill>
    <a:ln w="9525" cap="flat" cmpd="sng" algn="ctr">
      <a:noFill/>
      <a:round/>
    </a:ln>
    <a:effectLst/>
  </c:spPr>
  <c:txPr>
    <a:bodyPr/>
    <a:lstStyle/>
    <a:p>
      <a:pPr>
        <a:defRPr sz="1200" b="0" i="0" u="none" strike="noStrike" baseline="0">
          <a:solidFill>
            <a:schemeClr val="tx1"/>
          </a:solidFill>
          <a:latin typeface="Arial"/>
          <a:ea typeface="Arial"/>
          <a:cs typeface="Arial"/>
        </a:defRPr>
      </a:pPr>
      <a:endParaRPr lang="en-US"/>
    </a:p>
  </c:tx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IMPE v AMPE</a:t>
            </a:r>
          </a:p>
        </c:rich>
      </c:tx>
      <c:overlay val="0"/>
      <c:spPr>
        <a:noFill/>
        <a:ln w="25400">
          <a:noFill/>
        </a:ln>
      </c:spPr>
    </c:title>
    <c:autoTitleDeleted val="0"/>
    <c:plotArea>
      <c:layout/>
      <c:lineChart>
        <c:grouping val="standard"/>
        <c:varyColors val="0"/>
        <c:ser>
          <c:idx val="0"/>
          <c:order val="0"/>
          <c:tx>
            <c:v>'AMPE-MCVE 2014'!#REF!</c:v>
          </c:tx>
          <c:spPr>
            <a:ln w="25400">
              <a:solidFill>
                <a:srgbClr val="FF0000"/>
              </a:solidFill>
              <a:prstDash val="solid"/>
            </a:ln>
          </c:spPr>
          <c:marker>
            <c:symbol val="diamond"/>
            <c:size val="7"/>
            <c:spPr>
              <a:solidFill>
                <a:srgbClr val="FF0000"/>
              </a:solidFill>
              <a:ln>
                <a:solidFill>
                  <a:srgbClr val="FF0000"/>
                </a:solidFill>
                <a:prstDash val="solid"/>
              </a:ln>
            </c:spPr>
          </c:marker>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0-5D0D-471A-A433-2781E047BF39}"/>
            </c:ext>
          </c:extLst>
        </c:ser>
        <c:ser>
          <c:idx val="1"/>
          <c:order val="1"/>
          <c:tx>
            <c:v>'AMPE-MCVE 2014'!#REF!</c:v>
          </c:tx>
          <c:spPr>
            <a:ln w="25400">
              <a:solidFill>
                <a:srgbClr val="000080"/>
              </a:solidFill>
              <a:prstDash val="solid"/>
            </a:ln>
          </c:spPr>
          <c:marker>
            <c:symbol val="square"/>
            <c:size val="7"/>
            <c:spPr>
              <a:solidFill>
                <a:srgbClr val="000080"/>
              </a:solidFill>
              <a:ln>
                <a:solidFill>
                  <a:srgbClr val="000080"/>
                </a:solidFill>
                <a:prstDash val="solid"/>
              </a:ln>
            </c:spPr>
          </c:marker>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1-5D0D-471A-A433-2781E047BF39}"/>
            </c:ext>
          </c:extLst>
        </c:ser>
        <c:dLbls>
          <c:showLegendKey val="0"/>
          <c:showVal val="0"/>
          <c:showCatName val="0"/>
          <c:showSerName val="0"/>
          <c:showPercent val="0"/>
          <c:showBubbleSize val="0"/>
        </c:dLbls>
        <c:marker val="1"/>
        <c:smooth val="0"/>
        <c:axId val="615089360"/>
        <c:axId val="1"/>
      </c:lineChart>
      <c:catAx>
        <c:axId val="615089360"/>
        <c:scaling>
          <c:orientation val="minMax"/>
        </c:scaling>
        <c:delete val="0"/>
        <c:axPos val="b"/>
        <c:numFmt formatCode="mmm\-yy" sourceLinked="0"/>
        <c:majorTickMark val="out"/>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ax val="20"/>
          <c:min val="16"/>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ppl</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615089360"/>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1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 b="1" i="0" u="none" strike="noStrike" baseline="0">
                <a:solidFill>
                  <a:srgbClr val="000000"/>
                </a:solidFill>
                <a:latin typeface="Arial"/>
                <a:ea typeface="Arial"/>
                <a:cs typeface="Arial"/>
              </a:defRPr>
            </a:pPr>
            <a:r>
              <a:rPr lang="en-GB"/>
              <a:t>Adjusted AMPE v Adjusted DEFRA Price</a:t>
            </a:r>
          </a:p>
        </c:rich>
      </c:tx>
      <c:overlay val="0"/>
      <c:spPr>
        <a:noFill/>
        <a:ln w="25400">
          <a:noFill/>
        </a:ln>
      </c:spPr>
    </c:title>
    <c:autoTitleDeleted val="0"/>
    <c:plotArea>
      <c:layout/>
      <c:lineChart>
        <c:grouping val="standard"/>
        <c:varyColors val="0"/>
        <c:ser>
          <c:idx val="0"/>
          <c:order val="0"/>
          <c:tx>
            <c:v>'AMPE-MCVE 2014'!#REF!</c:v>
          </c:tx>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0-F5CD-45E0-863F-B6D5F7BE981F}"/>
            </c:ext>
          </c:extLst>
        </c:ser>
        <c:ser>
          <c:idx val="1"/>
          <c:order val="1"/>
          <c:tx>
            <c:v>'AMPE-MCVE 2014'!#REF!</c:v>
          </c:tx>
          <c:val>
            <c:numRef>
              <c:f>'M:\Users\yaos\Downloads\[UK-Beef-Trade-February-2019.xlsx]Lookups'!#REF!</c:f>
              <c:numCache>
                <c:formatCode>General</c:formatCode>
                <c:ptCount val="1"/>
                <c:pt idx="0">
                  <c:v>1</c:v>
                </c:pt>
              </c:numCache>
            </c:numRef>
          </c:val>
          <c:smooth val="0"/>
          <c:extLst>
            <c:ext xmlns:c15="http://schemas.microsoft.com/office/drawing/2012/chart" uri="{02D57815-91ED-43cb-92C2-25804820EDAC}">
              <c15:filteredCategoryTitle>
                <c15:cat>
                  <c:numRef>
                    <c:extLst>
                      <c:ext uri="{02D57815-91ED-43cb-92C2-25804820EDAC}">
                        <c15:formulaRef>
                          <c15:sqref>'M:\Users\yaos\Downloads\[UK-Beef-Trade-February-2019.xlsx]Lookups'!#REF!</c15:sqref>
                        </c15:formulaRef>
                      </c:ext>
                    </c:extLst>
                    <c:numCache>
                      <c:formatCode>General</c:formatCode>
                      <c:ptCount val="1"/>
                      <c:pt idx="0">
                        <c:v>1</c:v>
                      </c:pt>
                    </c:numCache>
                  </c:numRef>
                </c15:cat>
              </c15:filteredCategoryTitle>
            </c:ext>
            <c:ext xmlns:c16="http://schemas.microsoft.com/office/drawing/2014/chart" uri="{C3380CC4-5D6E-409C-BE32-E72D297353CC}">
              <c16:uniqueId val="{00000001-F5CD-45E0-863F-B6D5F7BE981F}"/>
            </c:ext>
          </c:extLst>
        </c:ser>
        <c:dLbls>
          <c:showLegendKey val="0"/>
          <c:showVal val="0"/>
          <c:showCatName val="0"/>
          <c:showSerName val="0"/>
          <c:showPercent val="0"/>
          <c:showBubbleSize val="0"/>
        </c:dLbls>
        <c:marker val="1"/>
        <c:smooth val="0"/>
        <c:axId val="615096576"/>
        <c:axId val="1"/>
      </c:lineChart>
      <c:catAx>
        <c:axId val="615096576"/>
        <c:scaling>
          <c:orientation val="minMax"/>
        </c:scaling>
        <c:delete val="0"/>
        <c:axPos val="b"/>
        <c:numFmt formatCode="mmm\-yy" sourceLinked="0"/>
        <c:majorTickMark val="out"/>
        <c:minorTickMark val="none"/>
        <c:tickLblPos val="nextTo"/>
        <c:spPr>
          <a:ln w="3175">
            <a:solidFill>
              <a:srgbClr val="000000"/>
            </a:solidFill>
            <a:prstDash val="solid"/>
          </a:ln>
        </c:spPr>
        <c:txPr>
          <a:bodyPr rot="-5400000" vert="horz"/>
          <a:lstStyle/>
          <a:p>
            <a:pPr>
              <a:defRPr sz="100" b="0"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in val="16"/>
        </c:scaling>
        <c:delete val="0"/>
        <c:axPos val="l"/>
        <c:majorGridlines>
          <c:spPr>
            <a:ln w="3175">
              <a:solidFill>
                <a:srgbClr val="000000"/>
              </a:solidFill>
              <a:prstDash val="solid"/>
            </a:ln>
          </c:spPr>
        </c:majorGridlines>
        <c:title>
          <c:tx>
            <c:rich>
              <a:bodyPr/>
              <a:lstStyle/>
              <a:p>
                <a:pPr>
                  <a:defRPr sz="100" b="1" i="0" u="none" strike="noStrike" baseline="0">
                    <a:solidFill>
                      <a:srgbClr val="000000"/>
                    </a:solidFill>
                    <a:latin typeface="Arial"/>
                    <a:ea typeface="Arial"/>
                    <a:cs typeface="Arial"/>
                  </a:defRPr>
                </a:pPr>
                <a:r>
                  <a:rPr lang="en-GB"/>
                  <a:t>ppl</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 b="0" i="0" u="none" strike="noStrike" baseline="0">
                <a:solidFill>
                  <a:srgbClr val="000000"/>
                </a:solidFill>
                <a:latin typeface="Arial"/>
                <a:ea typeface="Arial"/>
                <a:cs typeface="Arial"/>
              </a:defRPr>
            </a:pPr>
            <a:endParaRPr lang="en-US"/>
          </a:p>
        </c:txPr>
        <c:crossAx val="615096576"/>
        <c:crosses val="autoZero"/>
        <c:crossBetween val="between"/>
      </c:valAx>
      <c:spPr>
        <a:no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10"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1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b="1"/>
            </a:pPr>
            <a:r>
              <a:rPr lang="en-GB" b="1"/>
              <a:t>AMPE</a:t>
            </a:r>
            <a:r>
              <a:rPr lang="en-GB" b="1" baseline="0"/>
              <a:t> and MCVE</a:t>
            </a:r>
            <a:endParaRPr lang="en-GB" b="1"/>
          </a:p>
        </c:rich>
      </c:tx>
      <c:layout>
        <c:manualLayout>
          <c:xMode val="edge"/>
          <c:yMode val="edge"/>
          <c:x val="0.35828317901234569"/>
          <c:y val="2.0578703703703703E-2"/>
        </c:manualLayout>
      </c:layout>
      <c:overlay val="0"/>
      <c:spPr>
        <a:noFill/>
        <a:ln w="25400">
          <a:noFill/>
        </a:ln>
      </c:spPr>
    </c:title>
    <c:autoTitleDeleted val="0"/>
    <c:plotArea>
      <c:layout>
        <c:manualLayout>
          <c:layoutTarget val="inner"/>
          <c:xMode val="edge"/>
          <c:yMode val="edge"/>
          <c:x val="8.7657098765432095E-2"/>
          <c:y val="0.14864766706784627"/>
          <c:w val="0.88138179012345674"/>
          <c:h val="0.65117420470888787"/>
        </c:manualLayout>
      </c:layout>
      <c:lineChart>
        <c:grouping val="standard"/>
        <c:varyColors val="0"/>
        <c:ser>
          <c:idx val="0"/>
          <c:order val="0"/>
          <c:tx>
            <c:strRef>
              <c:f>'AMPE-MCVE'!$C$7</c:f>
              <c:strCache>
                <c:ptCount val="1"/>
                <c:pt idx="0">
                  <c:v>AMPE</c:v>
                </c:pt>
              </c:strCache>
            </c:strRef>
          </c:tx>
          <c:spPr>
            <a:ln w="28575"/>
          </c:spPr>
          <c:marker>
            <c:symbol val="none"/>
          </c:marker>
          <c:cat>
            <c:numRef>
              <c:f>'AMPE-MCVE'!$B$9:$B$131</c:f>
              <c:numCache>
                <c:formatCode>mmm\-yy</c:formatCode>
                <c:ptCount val="123"/>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pt idx="74">
                  <c:v>44348</c:v>
                </c:pt>
                <c:pt idx="75">
                  <c:v>44378</c:v>
                </c:pt>
                <c:pt idx="76">
                  <c:v>44409</c:v>
                </c:pt>
                <c:pt idx="77">
                  <c:v>44440</c:v>
                </c:pt>
                <c:pt idx="78">
                  <c:v>44470</c:v>
                </c:pt>
                <c:pt idx="79">
                  <c:v>44501</c:v>
                </c:pt>
                <c:pt idx="80">
                  <c:v>44531</c:v>
                </c:pt>
                <c:pt idx="81">
                  <c:v>44562</c:v>
                </c:pt>
                <c:pt idx="82">
                  <c:v>44593</c:v>
                </c:pt>
                <c:pt idx="83">
                  <c:v>44621</c:v>
                </c:pt>
                <c:pt idx="84">
                  <c:v>44652</c:v>
                </c:pt>
                <c:pt idx="85">
                  <c:v>44682</c:v>
                </c:pt>
                <c:pt idx="86">
                  <c:v>44713</c:v>
                </c:pt>
                <c:pt idx="87">
                  <c:v>44743</c:v>
                </c:pt>
                <c:pt idx="88">
                  <c:v>44774</c:v>
                </c:pt>
                <c:pt idx="89">
                  <c:v>44805</c:v>
                </c:pt>
                <c:pt idx="90">
                  <c:v>44835</c:v>
                </c:pt>
                <c:pt idx="91">
                  <c:v>44866</c:v>
                </c:pt>
                <c:pt idx="92">
                  <c:v>44896</c:v>
                </c:pt>
                <c:pt idx="93">
                  <c:v>44927</c:v>
                </c:pt>
                <c:pt idx="94">
                  <c:v>44958</c:v>
                </c:pt>
                <c:pt idx="95">
                  <c:v>44986</c:v>
                </c:pt>
                <c:pt idx="96">
                  <c:v>45017</c:v>
                </c:pt>
                <c:pt idx="97">
                  <c:v>45047</c:v>
                </c:pt>
                <c:pt idx="98">
                  <c:v>45078</c:v>
                </c:pt>
                <c:pt idx="99">
                  <c:v>45108</c:v>
                </c:pt>
                <c:pt idx="100">
                  <c:v>45139</c:v>
                </c:pt>
                <c:pt idx="101">
                  <c:v>45170</c:v>
                </c:pt>
                <c:pt idx="102">
                  <c:v>45200</c:v>
                </c:pt>
                <c:pt idx="103">
                  <c:v>45231</c:v>
                </c:pt>
                <c:pt idx="104">
                  <c:v>45261</c:v>
                </c:pt>
                <c:pt idx="105">
                  <c:v>45292</c:v>
                </c:pt>
                <c:pt idx="106">
                  <c:v>45323</c:v>
                </c:pt>
                <c:pt idx="107">
                  <c:v>45352</c:v>
                </c:pt>
                <c:pt idx="108">
                  <c:v>45383</c:v>
                </c:pt>
                <c:pt idx="109">
                  <c:v>45413</c:v>
                </c:pt>
                <c:pt idx="110">
                  <c:v>45444</c:v>
                </c:pt>
                <c:pt idx="111">
                  <c:v>45474</c:v>
                </c:pt>
                <c:pt idx="112">
                  <c:v>45505</c:v>
                </c:pt>
                <c:pt idx="113">
                  <c:v>45536</c:v>
                </c:pt>
                <c:pt idx="114">
                  <c:v>45566</c:v>
                </c:pt>
                <c:pt idx="115">
                  <c:v>45597</c:v>
                </c:pt>
                <c:pt idx="116">
                  <c:v>45627</c:v>
                </c:pt>
                <c:pt idx="117">
                  <c:v>45658</c:v>
                </c:pt>
                <c:pt idx="118">
                  <c:v>45689</c:v>
                </c:pt>
                <c:pt idx="119">
                  <c:v>45717</c:v>
                </c:pt>
              </c:numCache>
            </c:numRef>
          </c:cat>
          <c:val>
            <c:numRef>
              <c:f>'AMPE-MCVE'!$C$9:$C$131</c:f>
              <c:numCache>
                <c:formatCode>#,##0.0</c:formatCode>
                <c:ptCount val="123"/>
                <c:pt idx="0">
                  <c:v>20.440046640791905</c:v>
                </c:pt>
                <c:pt idx="1">
                  <c:v>18.704992071694054</c:v>
                </c:pt>
                <c:pt idx="2">
                  <c:v>18.231990718689641</c:v>
                </c:pt>
                <c:pt idx="3">
                  <c:v>17.254071142493803</c:v>
                </c:pt>
                <c:pt idx="4">
                  <c:v>16.013668869796586</c:v>
                </c:pt>
                <c:pt idx="5">
                  <c:v>17.508614271826197</c:v>
                </c:pt>
                <c:pt idx="6">
                  <c:v>18.511392338588074</c:v>
                </c:pt>
                <c:pt idx="7">
                  <c:v>16.766715127980788</c:v>
                </c:pt>
                <c:pt idx="8">
                  <c:v>16.505756904308768</c:v>
                </c:pt>
                <c:pt idx="9">
                  <c:v>16.600913346899077</c:v>
                </c:pt>
                <c:pt idx="10">
                  <c:v>16.455317337139789</c:v>
                </c:pt>
                <c:pt idx="11">
                  <c:v>15.935965151684211</c:v>
                </c:pt>
                <c:pt idx="12">
                  <c:v>15.920729302627606</c:v>
                </c:pt>
                <c:pt idx="13">
                  <c:v>17.285155942443431</c:v>
                </c:pt>
                <c:pt idx="14">
                  <c:v>19.398540105725651</c:v>
                </c:pt>
                <c:pt idx="15">
                  <c:v>23.843202671436288</c:v>
                </c:pt>
                <c:pt idx="16">
                  <c:v>26.521549156521381</c:v>
                </c:pt>
                <c:pt idx="17">
                  <c:v>28.987919739651666</c:v>
                </c:pt>
                <c:pt idx="18">
                  <c:v>31.815368874621093</c:v>
                </c:pt>
                <c:pt idx="19">
                  <c:v>31.958553187314038</c:v>
                </c:pt>
                <c:pt idx="20">
                  <c:v>31.445616096198087</c:v>
                </c:pt>
                <c:pt idx="21">
                  <c:v>30.923056363572691</c:v>
                </c:pt>
                <c:pt idx="22">
                  <c:v>28.682924969772316</c:v>
                </c:pt>
                <c:pt idx="23">
                  <c:v>28.181540376009867</c:v>
                </c:pt>
                <c:pt idx="24">
                  <c:v>28.046932879078266</c:v>
                </c:pt>
                <c:pt idx="25">
                  <c:v>31.435843732414529</c:v>
                </c:pt>
                <c:pt idx="26">
                  <c:v>36.951127539223343</c:v>
                </c:pt>
                <c:pt idx="27">
                  <c:v>37.30979818468105</c:v>
                </c:pt>
                <c:pt idx="28">
                  <c:v>40.818128031267278</c:v>
                </c:pt>
                <c:pt idx="29">
                  <c:v>40.64778301514243</c:v>
                </c:pt>
                <c:pt idx="30">
                  <c:v>33.423342918860904</c:v>
                </c:pt>
                <c:pt idx="31">
                  <c:v>29.895985809519857</c:v>
                </c:pt>
                <c:pt idx="32">
                  <c:v>27.01849361115918</c:v>
                </c:pt>
                <c:pt idx="33">
                  <c:v>24.632032022253092</c:v>
                </c:pt>
                <c:pt idx="34">
                  <c:v>27.551962555856718</c:v>
                </c:pt>
                <c:pt idx="35">
                  <c:v>27.342841726052512</c:v>
                </c:pt>
                <c:pt idx="36">
                  <c:v>29.590692420753729</c:v>
                </c:pt>
                <c:pt idx="37">
                  <c:v>33.795695231169375</c:v>
                </c:pt>
                <c:pt idx="38">
                  <c:v>33.906962673675309</c:v>
                </c:pt>
                <c:pt idx="39">
                  <c:v>32.407273178268554</c:v>
                </c:pt>
                <c:pt idx="40">
                  <c:v>33.777227688187018</c:v>
                </c:pt>
                <c:pt idx="41">
                  <c:v>32.408671004967374</c:v>
                </c:pt>
                <c:pt idx="42">
                  <c:v>28.829349855627996</c:v>
                </c:pt>
                <c:pt idx="43">
                  <c:v>27.458739987050201</c:v>
                </c:pt>
                <c:pt idx="44">
                  <c:v>27.8809437352459</c:v>
                </c:pt>
                <c:pt idx="45">
                  <c:v>30.666525030255627</c:v>
                </c:pt>
                <c:pt idx="46">
                  <c:v>29.773933782323041</c:v>
                </c:pt>
                <c:pt idx="47">
                  <c:v>28.727575091884525</c:v>
                </c:pt>
                <c:pt idx="48">
                  <c:v>28.289042797577615</c:v>
                </c:pt>
                <c:pt idx="49">
                  <c:v>28.999389619633174</c:v>
                </c:pt>
                <c:pt idx="50">
                  <c:v>28.90606881620543</c:v>
                </c:pt>
                <c:pt idx="51">
                  <c:v>28.356160069260564</c:v>
                </c:pt>
                <c:pt idx="52">
                  <c:v>28.153357397041923</c:v>
                </c:pt>
                <c:pt idx="53">
                  <c:v>30.26698549927977</c:v>
                </c:pt>
                <c:pt idx="54">
                  <c:v>30.785949937719138</c:v>
                </c:pt>
                <c:pt idx="55">
                  <c:v>31.729462119974528</c:v>
                </c:pt>
                <c:pt idx="56">
                  <c:v>31.777818792408869</c:v>
                </c:pt>
                <c:pt idx="57">
                  <c:v>32.013292876232001</c:v>
                </c:pt>
                <c:pt idx="58">
                  <c:v>30.95179527349093</c:v>
                </c:pt>
                <c:pt idx="59">
                  <c:v>28.980487932396535</c:v>
                </c:pt>
                <c:pt idx="60">
                  <c:v>23.688526578009967</c:v>
                </c:pt>
                <c:pt idx="61">
                  <c:v>24.857305387913733</c:v>
                </c:pt>
                <c:pt idx="62">
                  <c:v>29.669012188029892</c:v>
                </c:pt>
                <c:pt idx="63">
                  <c:v>28.761243561656748</c:v>
                </c:pt>
                <c:pt idx="64">
                  <c:v>28.242653860793524</c:v>
                </c:pt>
                <c:pt idx="65">
                  <c:v>29.544585280444558</c:v>
                </c:pt>
                <c:pt idx="66">
                  <c:v>29.748603979231888</c:v>
                </c:pt>
                <c:pt idx="67">
                  <c:v>29.149160999421991</c:v>
                </c:pt>
                <c:pt idx="68">
                  <c:v>29.048730838667346</c:v>
                </c:pt>
                <c:pt idx="69">
                  <c:v>30.095637397052336</c:v>
                </c:pt>
                <c:pt idx="70">
                  <c:v>30.846460647980006</c:v>
                </c:pt>
                <c:pt idx="71">
                  <c:v>32.544882710527844</c:v>
                </c:pt>
                <c:pt idx="72">
                  <c:v>33.108931375655743</c:v>
                </c:pt>
                <c:pt idx="73">
                  <c:v>33.203517277556983</c:v>
                </c:pt>
                <c:pt idx="74">
                  <c:v>32.464124769243682</c:v>
                </c:pt>
                <c:pt idx="75">
                  <c:v>31.592276402886366</c:v>
                </c:pt>
                <c:pt idx="76">
                  <c:v>32.097709258926962</c:v>
                </c:pt>
                <c:pt idx="77">
                  <c:v>33.853443229842831</c:v>
                </c:pt>
                <c:pt idx="78">
                  <c:v>36.569184418310556</c:v>
                </c:pt>
                <c:pt idx="79">
                  <c:v>42.282226604914911</c:v>
                </c:pt>
                <c:pt idx="80">
                  <c:v>44.703392658750154</c:v>
                </c:pt>
                <c:pt idx="81">
                  <c:v>47.312971284830951</c:v>
                </c:pt>
                <c:pt idx="82">
                  <c:v>48.856532642515788</c:v>
                </c:pt>
                <c:pt idx="83">
                  <c:v>54.478438413681843</c:v>
                </c:pt>
                <c:pt idx="84">
                  <c:v>56.324652520598292</c:v>
                </c:pt>
                <c:pt idx="85">
                  <c:v>55.095014539711784</c:v>
                </c:pt>
                <c:pt idx="86">
                  <c:v>56.434671269515398</c:v>
                </c:pt>
                <c:pt idx="87">
                  <c:v>54.745897958893764</c:v>
                </c:pt>
                <c:pt idx="88">
                  <c:v>51.318416184899505</c:v>
                </c:pt>
                <c:pt idx="89">
                  <c:v>53.131965521685999</c:v>
                </c:pt>
                <c:pt idx="90">
                  <c:v>51.270759401147288</c:v>
                </c:pt>
                <c:pt idx="91">
                  <c:v>44.689592205857679</c:v>
                </c:pt>
                <c:pt idx="92">
                  <c:v>39.630332023919159</c:v>
                </c:pt>
                <c:pt idx="93">
                  <c:v>35.087981384810156</c:v>
                </c:pt>
                <c:pt idx="94">
                  <c:v>33.469053916123642</c:v>
                </c:pt>
                <c:pt idx="95">
                  <c:v>34.551080356493181</c:v>
                </c:pt>
                <c:pt idx="96">
                  <c:v>31.807534316104643</c:v>
                </c:pt>
                <c:pt idx="97">
                  <c:v>32.013329836121017</c:v>
                </c:pt>
                <c:pt idx="98">
                  <c:v>32.657242412250305</c:v>
                </c:pt>
                <c:pt idx="99">
                  <c:v>29.664590893359183</c:v>
                </c:pt>
                <c:pt idx="100">
                  <c:v>28.612363457108355</c:v>
                </c:pt>
                <c:pt idx="101">
                  <c:v>28.808642024855342</c:v>
                </c:pt>
                <c:pt idx="102">
                  <c:v>34.51961458746824</c:v>
                </c:pt>
                <c:pt idx="103">
                  <c:v>37.658690658783783</c:v>
                </c:pt>
                <c:pt idx="104">
                  <c:v>37.951218840244145</c:v>
                </c:pt>
                <c:pt idx="105">
                  <c:v>37.443882174523132</c:v>
                </c:pt>
                <c:pt idx="106">
                  <c:v>37.618971284025122</c:v>
                </c:pt>
                <c:pt idx="107">
                  <c:v>36.617638389337053</c:v>
                </c:pt>
                <c:pt idx="108">
                  <c:v>36.141258814273769</c:v>
                </c:pt>
                <c:pt idx="109">
                  <c:v>37.076337988828378</c:v>
                </c:pt>
                <c:pt idx="110">
                  <c:v>40.495987677852511</c:v>
                </c:pt>
                <c:pt idx="111">
                  <c:v>40.488741391093811</c:v>
                </c:pt>
                <c:pt idx="112">
                  <c:v>42.684913293438314</c:v>
                </c:pt>
                <c:pt idx="113">
                  <c:v>47.149027089053895</c:v>
                </c:pt>
                <c:pt idx="114">
                  <c:v>45.485979514375082</c:v>
                </c:pt>
                <c:pt idx="115">
                  <c:v>46.215459078484066</c:v>
                </c:pt>
                <c:pt idx="116">
                  <c:v>45.388852640082959</c:v>
                </c:pt>
                <c:pt idx="117">
                  <c:v>44.01254105768119</c:v>
                </c:pt>
                <c:pt idx="118">
                  <c:v>41.995212160535786</c:v>
                </c:pt>
                <c:pt idx="119">
                  <c:v>42.66095620585412</c:v>
                </c:pt>
              </c:numCache>
            </c:numRef>
          </c:val>
          <c:smooth val="0"/>
          <c:extLst>
            <c:ext xmlns:c16="http://schemas.microsoft.com/office/drawing/2014/chart" uri="{C3380CC4-5D6E-409C-BE32-E72D297353CC}">
              <c16:uniqueId val="{00000000-FB52-4934-B0C2-CF40E68A45E6}"/>
            </c:ext>
          </c:extLst>
        </c:ser>
        <c:ser>
          <c:idx val="1"/>
          <c:order val="1"/>
          <c:tx>
            <c:strRef>
              <c:f>'AMPE-MCVE'!$D$7</c:f>
              <c:strCache>
                <c:ptCount val="1"/>
                <c:pt idx="0">
                  <c:v>MCVE</c:v>
                </c:pt>
              </c:strCache>
            </c:strRef>
          </c:tx>
          <c:spPr>
            <a:ln w="28575" cap="rnd">
              <a:solidFill>
                <a:schemeClr val="accent2"/>
              </a:solidFill>
              <a:round/>
            </a:ln>
            <a:effectLst/>
          </c:spPr>
          <c:marker>
            <c:symbol val="none"/>
          </c:marker>
          <c:cat>
            <c:numRef>
              <c:f>'AMPE-MCVE'!$B$9:$B$131</c:f>
              <c:numCache>
                <c:formatCode>mmm\-yy</c:formatCode>
                <c:ptCount val="123"/>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pt idx="74">
                  <c:v>44348</c:v>
                </c:pt>
                <c:pt idx="75">
                  <c:v>44378</c:v>
                </c:pt>
                <c:pt idx="76">
                  <c:v>44409</c:v>
                </c:pt>
                <c:pt idx="77">
                  <c:v>44440</c:v>
                </c:pt>
                <c:pt idx="78">
                  <c:v>44470</c:v>
                </c:pt>
                <c:pt idx="79">
                  <c:v>44501</c:v>
                </c:pt>
                <c:pt idx="80">
                  <c:v>44531</c:v>
                </c:pt>
                <c:pt idx="81">
                  <c:v>44562</c:v>
                </c:pt>
                <c:pt idx="82">
                  <c:v>44593</c:v>
                </c:pt>
                <c:pt idx="83">
                  <c:v>44621</c:v>
                </c:pt>
                <c:pt idx="84">
                  <c:v>44652</c:v>
                </c:pt>
                <c:pt idx="85">
                  <c:v>44682</c:v>
                </c:pt>
                <c:pt idx="86">
                  <c:v>44713</c:v>
                </c:pt>
                <c:pt idx="87">
                  <c:v>44743</c:v>
                </c:pt>
                <c:pt idx="88">
                  <c:v>44774</c:v>
                </c:pt>
                <c:pt idx="89">
                  <c:v>44805</c:v>
                </c:pt>
                <c:pt idx="90">
                  <c:v>44835</c:v>
                </c:pt>
                <c:pt idx="91">
                  <c:v>44866</c:v>
                </c:pt>
                <c:pt idx="92">
                  <c:v>44896</c:v>
                </c:pt>
                <c:pt idx="93">
                  <c:v>44927</c:v>
                </c:pt>
                <c:pt idx="94">
                  <c:v>44958</c:v>
                </c:pt>
                <c:pt idx="95">
                  <c:v>44986</c:v>
                </c:pt>
                <c:pt idx="96">
                  <c:v>45017</c:v>
                </c:pt>
                <c:pt idx="97">
                  <c:v>45047</c:v>
                </c:pt>
                <c:pt idx="98">
                  <c:v>45078</c:v>
                </c:pt>
                <c:pt idx="99">
                  <c:v>45108</c:v>
                </c:pt>
                <c:pt idx="100">
                  <c:v>45139</c:v>
                </c:pt>
                <c:pt idx="101">
                  <c:v>45170</c:v>
                </c:pt>
                <c:pt idx="102">
                  <c:v>45200</c:v>
                </c:pt>
                <c:pt idx="103">
                  <c:v>45231</c:v>
                </c:pt>
                <c:pt idx="104">
                  <c:v>45261</c:v>
                </c:pt>
                <c:pt idx="105">
                  <c:v>45292</c:v>
                </c:pt>
                <c:pt idx="106">
                  <c:v>45323</c:v>
                </c:pt>
                <c:pt idx="107">
                  <c:v>45352</c:v>
                </c:pt>
                <c:pt idx="108">
                  <c:v>45383</c:v>
                </c:pt>
                <c:pt idx="109">
                  <c:v>45413</c:v>
                </c:pt>
                <c:pt idx="110">
                  <c:v>45444</c:v>
                </c:pt>
                <c:pt idx="111">
                  <c:v>45474</c:v>
                </c:pt>
                <c:pt idx="112">
                  <c:v>45505</c:v>
                </c:pt>
                <c:pt idx="113">
                  <c:v>45536</c:v>
                </c:pt>
                <c:pt idx="114">
                  <c:v>45566</c:v>
                </c:pt>
                <c:pt idx="115">
                  <c:v>45597</c:v>
                </c:pt>
                <c:pt idx="116">
                  <c:v>45627</c:v>
                </c:pt>
                <c:pt idx="117">
                  <c:v>45658</c:v>
                </c:pt>
                <c:pt idx="118">
                  <c:v>45689</c:v>
                </c:pt>
                <c:pt idx="119">
                  <c:v>45717</c:v>
                </c:pt>
              </c:numCache>
            </c:numRef>
          </c:cat>
          <c:val>
            <c:numRef>
              <c:f>'AMPE-MCVE'!$D$9:$D$131</c:f>
              <c:numCache>
                <c:formatCode>#,##0.0</c:formatCode>
                <c:ptCount val="123"/>
                <c:pt idx="0">
                  <c:v>24.970627084613938</c:v>
                </c:pt>
                <c:pt idx="1">
                  <c:v>24.798809646319796</c:v>
                </c:pt>
                <c:pt idx="2">
                  <c:v>24.355695873864708</c:v>
                </c:pt>
                <c:pt idx="3">
                  <c:v>23.002257525955859</c:v>
                </c:pt>
                <c:pt idx="4">
                  <c:v>20.491496572494249</c:v>
                </c:pt>
                <c:pt idx="5">
                  <c:v>20.658754729351266</c:v>
                </c:pt>
                <c:pt idx="6">
                  <c:v>21.055161689486212</c:v>
                </c:pt>
                <c:pt idx="7">
                  <c:v>19.399300512296232</c:v>
                </c:pt>
                <c:pt idx="8">
                  <c:v>19.290729853613598</c:v>
                </c:pt>
                <c:pt idx="9">
                  <c:v>18.04199920074084</c:v>
                </c:pt>
                <c:pt idx="10">
                  <c:v>17.725121494293642</c:v>
                </c:pt>
                <c:pt idx="11">
                  <c:v>16.502734518366111</c:v>
                </c:pt>
                <c:pt idx="12">
                  <c:v>15.979168843167058</c:v>
                </c:pt>
                <c:pt idx="13">
                  <c:v>16.847587257528364</c:v>
                </c:pt>
                <c:pt idx="14">
                  <c:v>19.997987685955348</c:v>
                </c:pt>
                <c:pt idx="15">
                  <c:v>24.00736802048543</c:v>
                </c:pt>
                <c:pt idx="16">
                  <c:v>28.584441823846809</c:v>
                </c:pt>
                <c:pt idx="17">
                  <c:v>33.062379104199003</c:v>
                </c:pt>
                <c:pt idx="18">
                  <c:v>34.644322249513301</c:v>
                </c:pt>
                <c:pt idx="19">
                  <c:v>34.377706914683095</c:v>
                </c:pt>
                <c:pt idx="20">
                  <c:v>34.227069025680613</c:v>
                </c:pt>
                <c:pt idx="21">
                  <c:v>34.402440783384719</c:v>
                </c:pt>
                <c:pt idx="22">
                  <c:v>32.932254455441303</c:v>
                </c:pt>
                <c:pt idx="23">
                  <c:v>32.738610091181343</c:v>
                </c:pt>
                <c:pt idx="24">
                  <c:v>32.438223176321706</c:v>
                </c:pt>
                <c:pt idx="25">
                  <c:v>33.989657822615825</c:v>
                </c:pt>
                <c:pt idx="26">
                  <c:v>37.702767519487963</c:v>
                </c:pt>
                <c:pt idx="27">
                  <c:v>37.937754582009923</c:v>
                </c:pt>
                <c:pt idx="28">
                  <c:v>39.547236211222696</c:v>
                </c:pt>
                <c:pt idx="29">
                  <c:v>39.331052144630597</c:v>
                </c:pt>
                <c:pt idx="30">
                  <c:v>37.390905629142139</c:v>
                </c:pt>
                <c:pt idx="31">
                  <c:v>35.599517422164517</c:v>
                </c:pt>
                <c:pt idx="32">
                  <c:v>32.529791178836646</c:v>
                </c:pt>
                <c:pt idx="33">
                  <c:v>30.718787752187932</c:v>
                </c:pt>
                <c:pt idx="34">
                  <c:v>31.958651512686234</c:v>
                </c:pt>
                <c:pt idx="35">
                  <c:v>31.698280470471545</c:v>
                </c:pt>
                <c:pt idx="36">
                  <c:v>32.04554697431778</c:v>
                </c:pt>
                <c:pt idx="37">
                  <c:v>33.021125000473454</c:v>
                </c:pt>
                <c:pt idx="38">
                  <c:v>33.477331313786259</c:v>
                </c:pt>
                <c:pt idx="39">
                  <c:v>34.080607589832397</c:v>
                </c:pt>
                <c:pt idx="40">
                  <c:v>34.338494842887258</c:v>
                </c:pt>
                <c:pt idx="41">
                  <c:v>34.343517267063305</c:v>
                </c:pt>
                <c:pt idx="42">
                  <c:v>33.343698091791225</c:v>
                </c:pt>
                <c:pt idx="43">
                  <c:v>31.69827413343776</c:v>
                </c:pt>
                <c:pt idx="44">
                  <c:v>31.677698640168071</c:v>
                </c:pt>
                <c:pt idx="45">
                  <c:v>32.233987899296558</c:v>
                </c:pt>
                <c:pt idx="46">
                  <c:v>32.059813760257562</c:v>
                </c:pt>
                <c:pt idx="47">
                  <c:v>31.435398946518649</c:v>
                </c:pt>
                <c:pt idx="48">
                  <c:v>31.176327455001548</c:v>
                </c:pt>
                <c:pt idx="49">
                  <c:v>31.062585549057339</c:v>
                </c:pt>
                <c:pt idx="50">
                  <c:v>30.980035411770938</c:v>
                </c:pt>
                <c:pt idx="51">
                  <c:v>30.630539978734568</c:v>
                </c:pt>
                <c:pt idx="52">
                  <c:v>30.528322734686078</c:v>
                </c:pt>
                <c:pt idx="53">
                  <c:v>30.509077362990446</c:v>
                </c:pt>
                <c:pt idx="54">
                  <c:v>30.691956375696741</c:v>
                </c:pt>
                <c:pt idx="55">
                  <c:v>30.807046999327529</c:v>
                </c:pt>
                <c:pt idx="56">
                  <c:v>30.765737983700244</c:v>
                </c:pt>
                <c:pt idx="57">
                  <c:v>30.812817898991614</c:v>
                </c:pt>
                <c:pt idx="58">
                  <c:v>31.175246567279967</c:v>
                </c:pt>
                <c:pt idx="59">
                  <c:v>31.601149867640757</c:v>
                </c:pt>
                <c:pt idx="60">
                  <c:v>30.707427017533437</c:v>
                </c:pt>
                <c:pt idx="61">
                  <c:v>31.092176427015669</c:v>
                </c:pt>
                <c:pt idx="62">
                  <c:v>31.510086076491348</c:v>
                </c:pt>
                <c:pt idx="63">
                  <c:v>31.637191308040578</c:v>
                </c:pt>
                <c:pt idx="64">
                  <c:v>31.541153919695319</c:v>
                </c:pt>
                <c:pt idx="65">
                  <c:v>31.591636557200793</c:v>
                </c:pt>
                <c:pt idx="66">
                  <c:v>31.637231541719562</c:v>
                </c:pt>
                <c:pt idx="67">
                  <c:v>31.554952336228105</c:v>
                </c:pt>
                <c:pt idx="68">
                  <c:v>31.938908244187306</c:v>
                </c:pt>
                <c:pt idx="69">
                  <c:v>32.070119584682338</c:v>
                </c:pt>
                <c:pt idx="70">
                  <c:v>32.469614414805065</c:v>
                </c:pt>
                <c:pt idx="71">
                  <c:v>32.959272863667572</c:v>
                </c:pt>
                <c:pt idx="72">
                  <c:v>33.467832388933111</c:v>
                </c:pt>
                <c:pt idx="73">
                  <c:v>33.609515332920175</c:v>
                </c:pt>
                <c:pt idx="74">
                  <c:v>33.620309088638329</c:v>
                </c:pt>
                <c:pt idx="75">
                  <c:v>33.426200769061225</c:v>
                </c:pt>
                <c:pt idx="76">
                  <c:v>33.455540600138526</c:v>
                </c:pt>
                <c:pt idx="77">
                  <c:v>34.427595184205231</c:v>
                </c:pt>
                <c:pt idx="78">
                  <c:v>36.560061761074095</c:v>
                </c:pt>
                <c:pt idx="79">
                  <c:v>39.218619112234485</c:v>
                </c:pt>
                <c:pt idx="80">
                  <c:v>40.983469729060694</c:v>
                </c:pt>
                <c:pt idx="81">
                  <c:v>43.12206370095663</c:v>
                </c:pt>
                <c:pt idx="82">
                  <c:v>45.813163220043286</c:v>
                </c:pt>
                <c:pt idx="83">
                  <c:v>49.947518389966262</c:v>
                </c:pt>
                <c:pt idx="84">
                  <c:v>51.976834340923993</c:v>
                </c:pt>
                <c:pt idx="85">
                  <c:v>53.144388735429217</c:v>
                </c:pt>
                <c:pt idx="86">
                  <c:v>54.09319563294936</c:v>
                </c:pt>
                <c:pt idx="87">
                  <c:v>53.00591183379251</c:v>
                </c:pt>
                <c:pt idx="88">
                  <c:v>52.058310318145416</c:v>
                </c:pt>
                <c:pt idx="89">
                  <c:v>53.919313423569214</c:v>
                </c:pt>
                <c:pt idx="90">
                  <c:v>53.952721214168292</c:v>
                </c:pt>
                <c:pt idx="91">
                  <c:v>52.294021384611995</c:v>
                </c:pt>
                <c:pt idx="92">
                  <c:v>47.848012247440799</c:v>
                </c:pt>
                <c:pt idx="93">
                  <c:v>44.454500055621089</c:v>
                </c:pt>
                <c:pt idx="94">
                  <c:v>38.255952055585503</c:v>
                </c:pt>
                <c:pt idx="95">
                  <c:v>38.082119216504104</c:v>
                </c:pt>
                <c:pt idx="96">
                  <c:v>36.422202881826806</c:v>
                </c:pt>
                <c:pt idx="97">
                  <c:v>36.249297350892725</c:v>
                </c:pt>
                <c:pt idx="98">
                  <c:v>36.316070067241014</c:v>
                </c:pt>
                <c:pt idx="99">
                  <c:v>34.602837395279927</c:v>
                </c:pt>
                <c:pt idx="100">
                  <c:v>32.896049748160678</c:v>
                </c:pt>
                <c:pt idx="101">
                  <c:v>32.16830663474726</c:v>
                </c:pt>
                <c:pt idx="102">
                  <c:v>33.283651684056096</c:v>
                </c:pt>
                <c:pt idx="103">
                  <c:v>35.169120372550928</c:v>
                </c:pt>
                <c:pt idx="104">
                  <c:v>36.536952701759525</c:v>
                </c:pt>
                <c:pt idx="105">
                  <c:v>37.613866985832232</c:v>
                </c:pt>
                <c:pt idx="106">
                  <c:v>36.812023863411596</c:v>
                </c:pt>
                <c:pt idx="107">
                  <c:v>36.282420759473645</c:v>
                </c:pt>
                <c:pt idx="108">
                  <c:v>35.568433761410908</c:v>
                </c:pt>
                <c:pt idx="109">
                  <c:v>36.404219095239952</c:v>
                </c:pt>
                <c:pt idx="110">
                  <c:v>38.190371114730887</c:v>
                </c:pt>
                <c:pt idx="111">
                  <c:v>39.651802529132752</c:v>
                </c:pt>
                <c:pt idx="112">
                  <c:v>40.946576748323018</c:v>
                </c:pt>
                <c:pt idx="113">
                  <c:v>44.908940000816735</c:v>
                </c:pt>
                <c:pt idx="114">
                  <c:v>46.593780309144165</c:v>
                </c:pt>
                <c:pt idx="115">
                  <c:v>45.492016666853175</c:v>
                </c:pt>
                <c:pt idx="116">
                  <c:v>44.400510877929086</c:v>
                </c:pt>
                <c:pt idx="117">
                  <c:v>43.524704229809892</c:v>
                </c:pt>
                <c:pt idx="118">
                  <c:v>43.246118358836782</c:v>
                </c:pt>
                <c:pt idx="119">
                  <c:v>44.058692342822617</c:v>
                </c:pt>
              </c:numCache>
            </c:numRef>
          </c:val>
          <c:smooth val="0"/>
          <c:extLst>
            <c:ext xmlns:c16="http://schemas.microsoft.com/office/drawing/2014/chart" uri="{C3380CC4-5D6E-409C-BE32-E72D297353CC}">
              <c16:uniqueId val="{00000001-FB52-4934-B0C2-CF40E68A45E6}"/>
            </c:ext>
          </c:extLst>
        </c:ser>
        <c:dLbls>
          <c:showLegendKey val="0"/>
          <c:showVal val="0"/>
          <c:showCatName val="0"/>
          <c:showSerName val="0"/>
          <c:showPercent val="0"/>
          <c:showBubbleSize val="0"/>
        </c:dLbls>
        <c:smooth val="0"/>
        <c:axId val="615092640"/>
        <c:axId val="1"/>
      </c:lineChart>
      <c:dateAx>
        <c:axId val="615092640"/>
        <c:scaling>
          <c:orientation val="minMax"/>
          <c:max val="45717"/>
          <c:min val="44621"/>
        </c:scaling>
        <c:delete val="0"/>
        <c:axPos val="b"/>
        <c:title>
          <c:tx>
            <c:rich>
              <a:bodyPr/>
              <a:lstStyle/>
              <a:p>
                <a:pPr>
                  <a:defRPr/>
                </a:pPr>
                <a:r>
                  <a:rPr lang="en-GB"/>
                  <a:t>Source: AHDB</a:t>
                </a:r>
              </a:p>
            </c:rich>
          </c:tx>
          <c:layout>
            <c:manualLayout>
              <c:xMode val="edge"/>
              <c:yMode val="edge"/>
              <c:x val="5.9243827160493281E-4"/>
              <c:y val="0.9557168981481482"/>
            </c:manualLayout>
          </c:layout>
          <c:overlay val="0"/>
        </c:title>
        <c:numFmt formatCode="mmm\-yy" sourceLinked="0"/>
        <c:majorTickMark val="none"/>
        <c:minorTickMark val="none"/>
        <c:tickLblPos val="nextTo"/>
        <c:spPr>
          <a:noFill/>
          <a:ln w="9525" cap="flat" cmpd="sng" algn="ctr">
            <a:solidFill>
              <a:schemeClr val="tx1">
                <a:lumMod val="15000"/>
                <a:lumOff val="85000"/>
              </a:schemeClr>
            </a:solidFill>
            <a:round/>
          </a:ln>
          <a:effectLst/>
        </c:spPr>
        <c:txPr>
          <a:bodyPr rot="-2700000" vert="horz"/>
          <a:lstStyle/>
          <a:p>
            <a:pPr>
              <a:defRPr/>
            </a:pPr>
            <a:endParaRPr lang="en-US"/>
          </a:p>
        </c:txPr>
        <c:crossAx val="1"/>
        <c:crosses val="autoZero"/>
        <c:auto val="1"/>
        <c:lblOffset val="100"/>
        <c:baseTimeUnit val="months"/>
        <c:majorUnit val="3"/>
        <c:majorTimeUnit val="months"/>
      </c:dateAx>
      <c:valAx>
        <c:axId val="1"/>
        <c:scaling>
          <c:orientation val="minMax"/>
          <c:max val="60"/>
          <c:min val="20"/>
        </c:scaling>
        <c:delete val="0"/>
        <c:axPos val="l"/>
        <c:majorGridlines>
          <c:spPr>
            <a:ln w="9525" cap="flat" cmpd="sng" algn="ctr">
              <a:solidFill>
                <a:schemeClr val="tx1">
                  <a:lumMod val="15000"/>
                  <a:lumOff val="85000"/>
                </a:schemeClr>
              </a:solidFill>
              <a:round/>
            </a:ln>
            <a:effectLst/>
          </c:spPr>
        </c:majorGridlines>
        <c:title>
          <c:tx>
            <c:rich>
              <a:bodyPr/>
              <a:lstStyle/>
              <a:p>
                <a:pPr>
                  <a:defRPr b="0"/>
                </a:pPr>
                <a:r>
                  <a:rPr lang="en-GB" b="0"/>
                  <a:t>ppl</a:t>
                </a:r>
              </a:p>
            </c:rich>
          </c:tx>
          <c:overlay val="0"/>
          <c:spPr>
            <a:noFill/>
            <a:ln w="25400">
              <a:noFill/>
            </a:ln>
          </c:spPr>
        </c:title>
        <c:numFmt formatCode="0" sourceLinked="0"/>
        <c:majorTickMark val="none"/>
        <c:minorTickMark val="none"/>
        <c:tickLblPos val="nextTo"/>
        <c:spPr>
          <a:ln w="9525">
            <a:noFill/>
          </a:ln>
        </c:spPr>
        <c:txPr>
          <a:bodyPr rot="0" vert="horz"/>
          <a:lstStyle/>
          <a:p>
            <a:pPr>
              <a:defRPr/>
            </a:pPr>
            <a:endParaRPr lang="en-US"/>
          </a:p>
        </c:txPr>
        <c:crossAx val="615092640"/>
        <c:crosses val="autoZero"/>
        <c:crossBetween val="between"/>
      </c:valAx>
      <c:spPr>
        <a:noFill/>
        <a:ln w="25400">
          <a:noFill/>
        </a:ln>
      </c:spPr>
    </c:plotArea>
    <c:legend>
      <c:legendPos val="b"/>
      <c:layout>
        <c:manualLayout>
          <c:xMode val="edge"/>
          <c:yMode val="edge"/>
          <c:x val="0.24579533121047331"/>
          <c:y val="6.9088271809811808E-2"/>
          <c:w val="0.42078731644029838"/>
          <c:h val="7.8996391076115446E-2"/>
        </c:manualLayout>
      </c:layout>
      <c:overlay val="0"/>
      <c:spPr>
        <a:noFill/>
        <a:ln w="25400">
          <a:noFill/>
        </a:ln>
      </c:spPr>
    </c:legend>
    <c:plotVisOnly val="1"/>
    <c:dispBlanksAs val="gap"/>
    <c:showDLblsOverMax val="0"/>
  </c:chart>
  <c:spPr>
    <a:solidFill>
      <a:schemeClr val="bg1"/>
    </a:solidFill>
    <a:ln w="9525" cap="flat" cmpd="sng" algn="ctr">
      <a:noFill/>
      <a:round/>
    </a:ln>
    <a:effectLst/>
  </c:spPr>
  <c:txPr>
    <a:bodyPr/>
    <a:lstStyle/>
    <a:p>
      <a:pPr>
        <a:defRPr sz="1200" b="0" i="0" u="none" strike="noStrike" baseline="0">
          <a:solidFill>
            <a:schemeClr val="tx1"/>
          </a:solidFill>
          <a:latin typeface="Arial"/>
          <a:ea typeface="Arial"/>
          <a:cs typeface="Arial"/>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b="1"/>
              <a:t>Milk market value </a:t>
            </a:r>
          </a:p>
        </c:rich>
      </c:tx>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0383780864197531"/>
          <c:y val="0.15150625000000004"/>
          <c:w val="0.8682743827160494"/>
          <c:h val="0.63509027777777782"/>
        </c:manualLayout>
      </c:layout>
      <c:lineChart>
        <c:grouping val="standard"/>
        <c:varyColors val="0"/>
        <c:ser>
          <c:idx val="0"/>
          <c:order val="0"/>
          <c:spPr>
            <a:ln w="28575" cap="rnd">
              <a:solidFill>
                <a:schemeClr val="accent1"/>
              </a:solidFill>
              <a:round/>
            </a:ln>
            <a:effectLst/>
          </c:spPr>
          <c:marker>
            <c:symbol val="none"/>
          </c:marker>
          <c:cat>
            <c:numRef>
              <c:f>MMV!$B$10:$B$202</c:f>
              <c:numCache>
                <c:formatCode>mmm\-yy</c:formatCode>
                <c:ptCount val="193"/>
                <c:pt idx="0">
                  <c:v>42095</c:v>
                </c:pt>
                <c:pt idx="1">
                  <c:v>42125</c:v>
                </c:pt>
                <c:pt idx="2">
                  <c:v>42156</c:v>
                </c:pt>
                <c:pt idx="3">
                  <c:v>42186</c:v>
                </c:pt>
                <c:pt idx="4">
                  <c:v>42217</c:v>
                </c:pt>
                <c:pt idx="5">
                  <c:v>42248</c:v>
                </c:pt>
                <c:pt idx="6">
                  <c:v>42278</c:v>
                </c:pt>
                <c:pt idx="7">
                  <c:v>42309</c:v>
                </c:pt>
                <c:pt idx="8">
                  <c:v>42339</c:v>
                </c:pt>
                <c:pt idx="9">
                  <c:v>42370</c:v>
                </c:pt>
                <c:pt idx="10">
                  <c:v>42401</c:v>
                </c:pt>
                <c:pt idx="11">
                  <c:v>42430</c:v>
                </c:pt>
                <c:pt idx="12">
                  <c:v>42461</c:v>
                </c:pt>
                <c:pt idx="13">
                  <c:v>42491</c:v>
                </c:pt>
                <c:pt idx="14">
                  <c:v>42522</c:v>
                </c:pt>
                <c:pt idx="15">
                  <c:v>42552</c:v>
                </c:pt>
                <c:pt idx="16">
                  <c:v>42583</c:v>
                </c:pt>
                <c:pt idx="17">
                  <c:v>42614</c:v>
                </c:pt>
                <c:pt idx="18">
                  <c:v>42644</c:v>
                </c:pt>
                <c:pt idx="19">
                  <c:v>42675</c:v>
                </c:pt>
                <c:pt idx="20">
                  <c:v>42705</c:v>
                </c:pt>
                <c:pt idx="21">
                  <c:v>42736</c:v>
                </c:pt>
                <c:pt idx="22">
                  <c:v>42767</c:v>
                </c:pt>
                <c:pt idx="23">
                  <c:v>42795</c:v>
                </c:pt>
                <c:pt idx="24">
                  <c:v>42826</c:v>
                </c:pt>
                <c:pt idx="25">
                  <c:v>42856</c:v>
                </c:pt>
                <c:pt idx="26">
                  <c:v>42887</c:v>
                </c:pt>
                <c:pt idx="27">
                  <c:v>42917</c:v>
                </c:pt>
                <c:pt idx="28">
                  <c:v>42948</c:v>
                </c:pt>
                <c:pt idx="29">
                  <c:v>42979</c:v>
                </c:pt>
                <c:pt idx="30">
                  <c:v>43009</c:v>
                </c:pt>
                <c:pt idx="31">
                  <c:v>43040</c:v>
                </c:pt>
                <c:pt idx="32">
                  <c:v>43070</c:v>
                </c:pt>
                <c:pt idx="33">
                  <c:v>43101</c:v>
                </c:pt>
                <c:pt idx="34">
                  <c:v>43132</c:v>
                </c:pt>
                <c:pt idx="35">
                  <c:v>43160</c:v>
                </c:pt>
                <c:pt idx="36">
                  <c:v>43191</c:v>
                </c:pt>
                <c:pt idx="37">
                  <c:v>43221</c:v>
                </c:pt>
                <c:pt idx="38">
                  <c:v>43252</c:v>
                </c:pt>
                <c:pt idx="39">
                  <c:v>43282</c:v>
                </c:pt>
                <c:pt idx="40">
                  <c:v>43313</c:v>
                </c:pt>
                <c:pt idx="41">
                  <c:v>43344</c:v>
                </c:pt>
                <c:pt idx="42">
                  <c:v>43374</c:v>
                </c:pt>
                <c:pt idx="43">
                  <c:v>43405</c:v>
                </c:pt>
                <c:pt idx="44">
                  <c:v>43435</c:v>
                </c:pt>
                <c:pt idx="45">
                  <c:v>43466</c:v>
                </c:pt>
                <c:pt idx="46">
                  <c:v>43497</c:v>
                </c:pt>
                <c:pt idx="47">
                  <c:v>43525</c:v>
                </c:pt>
                <c:pt idx="48">
                  <c:v>43556</c:v>
                </c:pt>
                <c:pt idx="49">
                  <c:v>43586</c:v>
                </c:pt>
                <c:pt idx="50">
                  <c:v>43617</c:v>
                </c:pt>
                <c:pt idx="51">
                  <c:v>43647</c:v>
                </c:pt>
                <c:pt idx="52">
                  <c:v>43678</c:v>
                </c:pt>
                <c:pt idx="53">
                  <c:v>43709</c:v>
                </c:pt>
                <c:pt idx="54">
                  <c:v>43739</c:v>
                </c:pt>
                <c:pt idx="55">
                  <c:v>43770</c:v>
                </c:pt>
                <c:pt idx="56">
                  <c:v>43800</c:v>
                </c:pt>
                <c:pt idx="57">
                  <c:v>43831</c:v>
                </c:pt>
                <c:pt idx="58">
                  <c:v>43862</c:v>
                </c:pt>
                <c:pt idx="59">
                  <c:v>43891</c:v>
                </c:pt>
                <c:pt idx="60">
                  <c:v>43922</c:v>
                </c:pt>
                <c:pt idx="61">
                  <c:v>43952</c:v>
                </c:pt>
                <c:pt idx="62">
                  <c:v>43983</c:v>
                </c:pt>
                <c:pt idx="63">
                  <c:v>44013</c:v>
                </c:pt>
                <c:pt idx="64">
                  <c:v>44044</c:v>
                </c:pt>
                <c:pt idx="65">
                  <c:v>44075</c:v>
                </c:pt>
                <c:pt idx="66">
                  <c:v>44105</c:v>
                </c:pt>
                <c:pt idx="67">
                  <c:v>44136</c:v>
                </c:pt>
                <c:pt idx="68">
                  <c:v>44166</c:v>
                </c:pt>
                <c:pt idx="69">
                  <c:v>44197</c:v>
                </c:pt>
                <c:pt idx="70">
                  <c:v>44228</c:v>
                </c:pt>
                <c:pt idx="71">
                  <c:v>44256</c:v>
                </c:pt>
                <c:pt idx="72">
                  <c:v>44287</c:v>
                </c:pt>
                <c:pt idx="73">
                  <c:v>44317</c:v>
                </c:pt>
                <c:pt idx="74">
                  <c:v>44348</c:v>
                </c:pt>
                <c:pt idx="75">
                  <c:v>44378</c:v>
                </c:pt>
                <c:pt idx="76">
                  <c:v>44409</c:v>
                </c:pt>
                <c:pt idx="77">
                  <c:v>44440</c:v>
                </c:pt>
                <c:pt idx="78">
                  <c:v>44470</c:v>
                </c:pt>
                <c:pt idx="79">
                  <c:v>44501</c:v>
                </c:pt>
                <c:pt idx="80">
                  <c:v>44531</c:v>
                </c:pt>
                <c:pt idx="81">
                  <c:v>44562</c:v>
                </c:pt>
                <c:pt idx="82">
                  <c:v>44593</c:v>
                </c:pt>
                <c:pt idx="83">
                  <c:v>44621</c:v>
                </c:pt>
                <c:pt idx="84">
                  <c:v>44652</c:v>
                </c:pt>
                <c:pt idx="85">
                  <c:v>44682</c:v>
                </c:pt>
                <c:pt idx="86">
                  <c:v>44713</c:v>
                </c:pt>
                <c:pt idx="87">
                  <c:v>44743</c:v>
                </c:pt>
                <c:pt idx="88">
                  <c:v>44774</c:v>
                </c:pt>
                <c:pt idx="89">
                  <c:v>44805</c:v>
                </c:pt>
                <c:pt idx="90">
                  <c:v>44835</c:v>
                </c:pt>
                <c:pt idx="91">
                  <c:v>44866</c:v>
                </c:pt>
                <c:pt idx="92">
                  <c:v>44896</c:v>
                </c:pt>
                <c:pt idx="93">
                  <c:v>44927</c:v>
                </c:pt>
                <c:pt idx="94">
                  <c:v>44958</c:v>
                </c:pt>
                <c:pt idx="95">
                  <c:v>44986</c:v>
                </c:pt>
                <c:pt idx="96">
                  <c:v>45017</c:v>
                </c:pt>
                <c:pt idx="97">
                  <c:v>45047</c:v>
                </c:pt>
                <c:pt idx="98">
                  <c:v>45078</c:v>
                </c:pt>
                <c:pt idx="99">
                  <c:v>45108</c:v>
                </c:pt>
                <c:pt idx="100">
                  <c:v>45139</c:v>
                </c:pt>
                <c:pt idx="101">
                  <c:v>45170</c:v>
                </c:pt>
                <c:pt idx="102">
                  <c:v>45200</c:v>
                </c:pt>
                <c:pt idx="103">
                  <c:v>45231</c:v>
                </c:pt>
                <c:pt idx="104">
                  <c:v>45261</c:v>
                </c:pt>
                <c:pt idx="105">
                  <c:v>45292</c:v>
                </c:pt>
                <c:pt idx="106">
                  <c:v>45323</c:v>
                </c:pt>
                <c:pt idx="107">
                  <c:v>45352</c:v>
                </c:pt>
                <c:pt idx="108">
                  <c:v>45383</c:v>
                </c:pt>
                <c:pt idx="109">
                  <c:v>45413</c:v>
                </c:pt>
                <c:pt idx="110">
                  <c:v>45444</c:v>
                </c:pt>
                <c:pt idx="111">
                  <c:v>45474</c:v>
                </c:pt>
                <c:pt idx="112">
                  <c:v>45505</c:v>
                </c:pt>
                <c:pt idx="113">
                  <c:v>45536</c:v>
                </c:pt>
                <c:pt idx="114">
                  <c:v>45566</c:v>
                </c:pt>
                <c:pt idx="115">
                  <c:v>45597</c:v>
                </c:pt>
                <c:pt idx="116">
                  <c:v>45627</c:v>
                </c:pt>
                <c:pt idx="117">
                  <c:v>45658</c:v>
                </c:pt>
                <c:pt idx="118">
                  <c:v>45689</c:v>
                </c:pt>
                <c:pt idx="119">
                  <c:v>45717</c:v>
                </c:pt>
              </c:numCache>
            </c:numRef>
          </c:cat>
          <c:val>
            <c:numRef>
              <c:f>MMV!$C$10:$C$202</c:f>
              <c:numCache>
                <c:formatCode>0.0</c:formatCode>
                <c:ptCount val="193"/>
                <c:pt idx="0">
                  <c:v>23.583438102261695</c:v>
                </c:pt>
                <c:pt idx="1">
                  <c:v>23.107135021791638</c:v>
                </c:pt>
                <c:pt idx="2">
                  <c:v>22.661023512168438</c:v>
                </c:pt>
                <c:pt idx="3">
                  <c:v>21.405033024348061</c:v>
                </c:pt>
                <c:pt idx="4">
                  <c:v>19.195255581268434</c:v>
                </c:pt>
                <c:pt idx="5">
                  <c:v>19.619037495162189</c:v>
                </c:pt>
                <c:pt idx="6">
                  <c:v>20.124609867865551</c:v>
                </c:pt>
                <c:pt idx="7">
                  <c:v>18.486262911367664</c:v>
                </c:pt>
                <c:pt idx="8">
                  <c:v>18.352001038909002</c:v>
                </c:pt>
                <c:pt idx="9">
                  <c:v>17.399139290732172</c:v>
                </c:pt>
                <c:pt idx="10">
                  <c:v>17.127135604432262</c:v>
                </c:pt>
                <c:pt idx="11">
                  <c:v>16.072860274558927</c:v>
                </c:pt>
                <c:pt idx="12">
                  <c:v>15.663095213559561</c:v>
                </c:pt>
                <c:pt idx="13">
                  <c:v>16.61067827316824</c:v>
                </c:pt>
                <c:pt idx="14">
                  <c:v>19.491217211027774</c:v>
                </c:pt>
                <c:pt idx="15">
                  <c:v>23.50852206430153</c:v>
                </c:pt>
                <c:pt idx="16">
                  <c:v>27.618778168032676</c:v>
                </c:pt>
                <c:pt idx="17">
                  <c:v>31.613683434457585</c:v>
                </c:pt>
                <c:pt idx="18">
                  <c:v>33.41964173255608</c:v>
                </c:pt>
                <c:pt idx="19">
                  <c:v>33.238706462298026</c:v>
                </c:pt>
                <c:pt idx="20">
                  <c:v>33.023307899129314</c:v>
                </c:pt>
                <c:pt idx="21">
                  <c:v>33.064114564195897</c:v>
                </c:pt>
                <c:pt idx="22">
                  <c:v>31.473979575974866</c:v>
                </c:pt>
                <c:pt idx="23">
                  <c:v>31.223895013619796</c:v>
                </c:pt>
                <c:pt idx="24">
                  <c:v>30.963559182932279</c:v>
                </c:pt>
                <c:pt idx="25">
                  <c:v>32.835124282186086</c:v>
                </c:pt>
                <c:pt idx="26">
                  <c:v>36.813611749548983</c:v>
                </c:pt>
                <c:pt idx="27">
                  <c:v>37.052557505550269</c:v>
                </c:pt>
                <c:pt idx="28">
                  <c:v>38.982239122742783</c:v>
                </c:pt>
                <c:pt idx="29">
                  <c:v>38.762557790195579</c:v>
                </c:pt>
                <c:pt idx="30">
                  <c:v>35.830983315959593</c:v>
                </c:pt>
                <c:pt idx="31">
                  <c:v>33.736370944665218</c:v>
                </c:pt>
                <c:pt idx="32">
                  <c:v>30.769540374532323</c:v>
                </c:pt>
                <c:pt idx="33">
                  <c:v>28.884515254582229</c:v>
                </c:pt>
                <c:pt idx="34">
                  <c:v>30.418528017998895</c:v>
                </c:pt>
                <c:pt idx="35">
                  <c:v>30.17629355516646</c:v>
                </c:pt>
                <c:pt idx="36">
                  <c:v>30.885178988235577</c:v>
                </c:pt>
                <c:pt idx="37">
                  <c:v>32.477641593821765</c:v>
                </c:pt>
                <c:pt idx="38">
                  <c:v>32.864942026653239</c:v>
                </c:pt>
                <c:pt idx="39">
                  <c:v>33.055662494705061</c:v>
                </c:pt>
                <c:pt idx="40">
                  <c:v>33.530662317368495</c:v>
                </c:pt>
                <c:pt idx="41">
                  <c:v>33.273185896293505</c:v>
                </c:pt>
                <c:pt idx="42">
                  <c:v>32.440828444558576</c:v>
                </c:pt>
                <c:pt idx="43">
                  <c:v>30.850367304160251</c:v>
                </c:pt>
                <c:pt idx="44">
                  <c:v>30.918347659183638</c:v>
                </c:pt>
                <c:pt idx="45">
                  <c:v>31.920495325488375</c:v>
                </c:pt>
                <c:pt idx="46">
                  <c:v>31.602637764670661</c:v>
                </c:pt>
                <c:pt idx="47">
                  <c:v>30.893834175591827</c:v>
                </c:pt>
                <c:pt idx="48">
                  <c:v>30.598870523516762</c:v>
                </c:pt>
                <c:pt idx="49">
                  <c:v>30.649946363172511</c:v>
                </c:pt>
                <c:pt idx="50">
                  <c:v>30.56524209265784</c:v>
                </c:pt>
                <c:pt idx="51">
                  <c:v>30.175663996839766</c:v>
                </c:pt>
                <c:pt idx="52">
                  <c:v>30.05332966715725</c:v>
                </c:pt>
                <c:pt idx="53">
                  <c:v>30.460658990248312</c:v>
                </c:pt>
                <c:pt idx="54">
                  <c:v>30.710755088101219</c:v>
                </c:pt>
                <c:pt idx="55">
                  <c:v>30.991530023456932</c:v>
                </c:pt>
                <c:pt idx="56">
                  <c:v>30.968154145441972</c:v>
                </c:pt>
                <c:pt idx="57">
                  <c:v>31.052912894439693</c:v>
                </c:pt>
                <c:pt idx="58">
                  <c:v>31.130556308522159</c:v>
                </c:pt>
                <c:pt idx="59">
                  <c:v>31.077017480591913</c:v>
                </c:pt>
                <c:pt idx="60">
                  <c:v>29.303646929628744</c:v>
                </c:pt>
                <c:pt idx="61">
                  <c:v>29.845202219195286</c:v>
                </c:pt>
                <c:pt idx="62">
                  <c:v>31.14187129879906</c:v>
                </c:pt>
                <c:pt idx="63">
                  <c:v>31.062001758763813</c:v>
                </c:pt>
                <c:pt idx="64">
                  <c:v>30.88145390791496</c:v>
                </c:pt>
                <c:pt idx="65">
                  <c:v>31.182226301849546</c:v>
                </c:pt>
                <c:pt idx="66">
                  <c:v>31.259506029222027</c:v>
                </c:pt>
                <c:pt idx="67">
                  <c:v>31.073794068866881</c:v>
                </c:pt>
                <c:pt idx="68">
                  <c:v>31.360872763083314</c:v>
                </c:pt>
                <c:pt idx="69">
                  <c:v>31.675223147156341</c:v>
                </c:pt>
                <c:pt idx="70">
                  <c:v>32.144983661440051</c:v>
                </c:pt>
                <c:pt idx="71">
                  <c:v>32.876394833039626</c:v>
                </c:pt>
                <c:pt idx="72">
                  <c:v>33.396052186277636</c:v>
                </c:pt>
                <c:pt idx="73">
                  <c:v>33.528315721847541</c:v>
                </c:pt>
                <c:pt idx="74">
                  <c:v>33.389072224759403</c:v>
                </c:pt>
                <c:pt idx="75">
                  <c:v>33.059415895826255</c:v>
                </c:pt>
                <c:pt idx="76">
                  <c:v>33.183974331896216</c:v>
                </c:pt>
                <c:pt idx="77">
                  <c:v>34.312764793332754</c:v>
                </c:pt>
                <c:pt idx="78">
                  <c:v>36.561886292521386</c:v>
                </c:pt>
                <c:pt idx="79">
                  <c:v>39.831340610770567</c:v>
                </c:pt>
                <c:pt idx="80">
                  <c:v>41.727454314998589</c:v>
                </c:pt>
                <c:pt idx="81">
                  <c:v>43.960245217731497</c:v>
                </c:pt>
                <c:pt idx="82">
                  <c:v>46.421837104537794</c:v>
                </c:pt>
                <c:pt idx="83">
                  <c:v>50.853702394709387</c:v>
                </c:pt>
                <c:pt idx="84">
                  <c:v>52.84639797685886</c:v>
                </c:pt>
                <c:pt idx="85">
                  <c:v>53.534513896285738</c:v>
                </c:pt>
                <c:pt idx="86">
                  <c:v>54.561490760262572</c:v>
                </c:pt>
                <c:pt idx="87">
                  <c:v>53.353909058812761</c:v>
                </c:pt>
                <c:pt idx="88">
                  <c:v>51.910331491496237</c:v>
                </c:pt>
                <c:pt idx="89">
                  <c:v>53.76184384319258</c:v>
                </c:pt>
                <c:pt idx="90">
                  <c:v>53.416328851564096</c:v>
                </c:pt>
                <c:pt idx="91">
                  <c:v>50.773135548861134</c:v>
                </c:pt>
                <c:pt idx="92">
                  <c:v>46.204476202736473</c:v>
                </c:pt>
                <c:pt idx="93">
                  <c:v>42.581196321458904</c:v>
                </c:pt>
                <c:pt idx="94">
                  <c:v>37.298572427693131</c:v>
                </c:pt>
                <c:pt idx="95">
                  <c:v>37.375911444501924</c:v>
                </c:pt>
                <c:pt idx="96">
                  <c:v>35.499269168682375</c:v>
                </c:pt>
                <c:pt idx="97">
                  <c:v>35.402103847938385</c:v>
                </c:pt>
                <c:pt idx="98">
                  <c:v>35.584304536242875</c:v>
                </c:pt>
                <c:pt idx="99">
                  <c:v>33.615188094895785</c:v>
                </c:pt>
                <c:pt idx="100">
                  <c:v>32.03931248995022</c:v>
                </c:pt>
                <c:pt idx="101">
                  <c:v>31.496373712768879</c:v>
                </c:pt>
                <c:pt idx="102">
                  <c:v>33.530844264738526</c:v>
                </c:pt>
                <c:pt idx="103">
                  <c:v>35.667034429797496</c:v>
                </c:pt>
                <c:pt idx="104">
                  <c:v>36.81980592945645</c:v>
                </c:pt>
                <c:pt idx="105">
                  <c:v>37.579870023570415</c:v>
                </c:pt>
                <c:pt idx="106">
                  <c:v>36.973413347534304</c:v>
                </c:pt>
                <c:pt idx="107">
                  <c:v>36.349464285446331</c:v>
                </c:pt>
                <c:pt idx="108">
                  <c:v>35.682998771983478</c:v>
                </c:pt>
                <c:pt idx="109">
                  <c:v>36.538642873957642</c:v>
                </c:pt>
                <c:pt idx="110">
                  <c:v>38.65149442735521</c:v>
                </c:pt>
                <c:pt idx="111">
                  <c:v>39.819190301524969</c:v>
                </c:pt>
                <c:pt idx="112">
                  <c:v>41.294244057346077</c:v>
                </c:pt>
                <c:pt idx="113">
                  <c:v>45.356957418464162</c:v>
                </c:pt>
                <c:pt idx="114">
                  <c:v>46.372220150190351</c:v>
                </c:pt>
                <c:pt idx="115">
                  <c:v>45.636705149179356</c:v>
                </c:pt>
                <c:pt idx="116">
                  <c:v>44.598179230359861</c:v>
                </c:pt>
                <c:pt idx="117">
                  <c:v>43.622271595384149</c:v>
                </c:pt>
                <c:pt idx="118">
                  <c:v>42.995937119176588</c:v>
                </c:pt>
                <c:pt idx="119">
                  <c:v>43.779145115428918</c:v>
                </c:pt>
              </c:numCache>
            </c:numRef>
          </c:val>
          <c:smooth val="0"/>
          <c:extLst>
            <c:ext xmlns:c16="http://schemas.microsoft.com/office/drawing/2014/chart" uri="{C3380CC4-5D6E-409C-BE32-E72D297353CC}">
              <c16:uniqueId val="{00000000-C3D1-4AA4-9D90-1FA3B692857F}"/>
            </c:ext>
          </c:extLst>
        </c:ser>
        <c:dLbls>
          <c:showLegendKey val="0"/>
          <c:showVal val="0"/>
          <c:showCatName val="0"/>
          <c:showSerName val="0"/>
          <c:showPercent val="0"/>
          <c:showBubbleSize val="0"/>
        </c:dLbls>
        <c:smooth val="0"/>
        <c:axId val="1717995792"/>
        <c:axId val="1717996208"/>
      </c:lineChart>
      <c:dateAx>
        <c:axId val="1717995792"/>
        <c:scaling>
          <c:orientation val="minMax"/>
          <c:max val="45717"/>
          <c:min val="44621"/>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717996208"/>
        <c:crosses val="autoZero"/>
        <c:auto val="1"/>
        <c:lblOffset val="100"/>
        <c:baseTimeUnit val="months"/>
        <c:majorUnit val="3"/>
        <c:majorTimeUnit val="months"/>
      </c:dateAx>
      <c:valAx>
        <c:axId val="1717996208"/>
        <c:scaling>
          <c:orientation val="minMax"/>
          <c:max val="60"/>
          <c:min val="2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a:t>ppl</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7179957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4"/>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 Id="rId4"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_rels/drawing11.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135631</xdr:colOff>
      <xdr:row>2</xdr:row>
      <xdr:rowOff>28097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7754784" cy="3506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423958</xdr:colOff>
      <xdr:row>0</xdr:row>
      <xdr:rowOff>0</xdr:rowOff>
    </xdr:from>
    <xdr:to>
      <xdr:col>13</xdr:col>
      <xdr:colOff>333692</xdr:colOff>
      <xdr:row>1</xdr:row>
      <xdr:rowOff>2954</xdr:rowOff>
    </xdr:to>
    <xdr:pic>
      <xdr:nvPicPr>
        <xdr:cNvPr id="2" name="Gradientbar with swoosh 2" hidden="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23958" y="0"/>
          <a:ext cx="9168669" cy="352204"/>
        </a:xfrm>
        <a:prstGeom prst="rect">
          <a:avLst/>
        </a:prstGeom>
      </xdr:spPr>
    </xdr:pic>
    <xdr:clientData/>
  </xdr:twoCellAnchor>
  <xdr:twoCellAnchor editAs="oneCell">
    <xdr:from>
      <xdr:col>0</xdr:col>
      <xdr:colOff>460659</xdr:colOff>
      <xdr:row>0</xdr:row>
      <xdr:rowOff>0</xdr:rowOff>
    </xdr:from>
    <xdr:to>
      <xdr:col>11</xdr:col>
      <xdr:colOff>382442</xdr:colOff>
      <xdr:row>1</xdr:row>
      <xdr:rowOff>28555</xdr:rowOff>
    </xdr:to>
    <xdr:pic>
      <xdr:nvPicPr>
        <xdr:cNvPr id="3" name="Gradientbar with swoosh 1"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843408" cy="347960"/>
        </a:xfrm>
        <a:prstGeom prst="rect">
          <a:avLst/>
        </a:prstGeom>
      </xdr:spPr>
    </xdr:pic>
    <xdr:clientData/>
  </xdr:twoCellAnchor>
  <xdr:twoCellAnchor editAs="oneCell">
    <xdr:from>
      <xdr:col>0</xdr:col>
      <xdr:colOff>460659</xdr:colOff>
      <xdr:row>0</xdr:row>
      <xdr:rowOff>0</xdr:rowOff>
    </xdr:from>
    <xdr:to>
      <xdr:col>11</xdr:col>
      <xdr:colOff>382442</xdr:colOff>
      <xdr:row>1</xdr:row>
      <xdr:rowOff>28555</xdr:rowOff>
    </xdr:to>
    <xdr:pic>
      <xdr:nvPicPr>
        <xdr:cNvPr id="6" name="Gradientbar with swoosh 1" hidden="1">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843408" cy="347960"/>
        </a:xfrm>
        <a:prstGeom prst="rect">
          <a:avLst/>
        </a:prstGeom>
      </xdr:spPr>
    </xdr:pic>
    <xdr:clientData/>
  </xdr:twoCellAnchor>
  <xdr:twoCellAnchor editAs="oneCell">
    <xdr:from>
      <xdr:col>0</xdr:col>
      <xdr:colOff>0</xdr:colOff>
      <xdr:row>0</xdr:row>
      <xdr:rowOff>0</xdr:rowOff>
    </xdr:from>
    <xdr:to>
      <xdr:col>17</xdr:col>
      <xdr:colOff>726721</xdr:colOff>
      <xdr:row>1</xdr:row>
      <xdr:rowOff>28520</xdr:rowOff>
    </xdr:to>
    <xdr:pic>
      <xdr:nvPicPr>
        <xdr:cNvPr id="14" name="Picture 13">
          <a:extLst>
            <a:ext uri="{FF2B5EF4-FFF2-40B4-BE49-F238E27FC236}">
              <a16:creationId xmlns:a16="http://schemas.microsoft.com/office/drawing/2014/main" id="{00000000-0008-0000-0100-00000E000000}"/>
            </a:ext>
          </a:extLst>
        </xdr:cNvPr>
        <xdr:cNvPicPr>
          <a:picLocks noChangeAspect="1"/>
        </xdr:cNvPicPr>
      </xdr:nvPicPr>
      <xdr:blipFill>
        <a:blip xmlns:r="http://schemas.openxmlformats.org/officeDocument/2006/relationships" r:embed="rId1"/>
        <a:stretch>
          <a:fillRect/>
        </a:stretch>
      </xdr:blipFill>
      <xdr:spPr>
        <a:xfrm>
          <a:off x="0" y="0"/>
          <a:ext cx="12488332" cy="37551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423958</xdr:colOff>
      <xdr:row>0</xdr:row>
      <xdr:rowOff>0</xdr:rowOff>
    </xdr:from>
    <xdr:to>
      <xdr:col>12</xdr:col>
      <xdr:colOff>707072</xdr:colOff>
      <xdr:row>1</xdr:row>
      <xdr:rowOff>2954</xdr:rowOff>
    </xdr:to>
    <xdr:pic>
      <xdr:nvPicPr>
        <xdr:cNvPr id="2" name="Gradientbar with swoosh 2" hidden="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23958" y="0"/>
          <a:ext cx="9162954" cy="345854"/>
        </a:xfrm>
        <a:prstGeom prst="rect">
          <a:avLst/>
        </a:prstGeom>
      </xdr:spPr>
    </xdr:pic>
    <xdr:clientData/>
  </xdr:twoCellAnchor>
  <xdr:twoCellAnchor editAs="oneCell">
    <xdr:from>
      <xdr:col>0</xdr:col>
      <xdr:colOff>460659</xdr:colOff>
      <xdr:row>0</xdr:row>
      <xdr:rowOff>0</xdr:rowOff>
    </xdr:from>
    <xdr:to>
      <xdr:col>11</xdr:col>
      <xdr:colOff>173315</xdr:colOff>
      <xdr:row>1</xdr:row>
      <xdr:rowOff>26015</xdr:rowOff>
    </xdr:to>
    <xdr:pic>
      <xdr:nvPicPr>
        <xdr:cNvPr id="3" name="Gradientbar with swoosh 1" hidden="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846583" cy="347325"/>
        </a:xfrm>
        <a:prstGeom prst="rect">
          <a:avLst/>
        </a:prstGeom>
      </xdr:spPr>
    </xdr:pic>
    <xdr:clientData/>
  </xdr:twoCellAnchor>
  <xdr:twoCellAnchor editAs="oneCell">
    <xdr:from>
      <xdr:col>0</xdr:col>
      <xdr:colOff>460659</xdr:colOff>
      <xdr:row>0</xdr:row>
      <xdr:rowOff>0</xdr:rowOff>
    </xdr:from>
    <xdr:to>
      <xdr:col>11</xdr:col>
      <xdr:colOff>173315</xdr:colOff>
      <xdr:row>1</xdr:row>
      <xdr:rowOff>26015</xdr:rowOff>
    </xdr:to>
    <xdr:pic>
      <xdr:nvPicPr>
        <xdr:cNvPr id="4" name="Gradientbar with swoosh 1" hidden="1">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846583" cy="347325"/>
        </a:xfrm>
        <a:prstGeom prst="rect">
          <a:avLst/>
        </a:prstGeom>
      </xdr:spPr>
    </xdr:pic>
    <xdr:clientData/>
  </xdr:twoCellAnchor>
  <xdr:twoCellAnchor editAs="oneCell">
    <xdr:from>
      <xdr:col>0</xdr:col>
      <xdr:colOff>0</xdr:colOff>
      <xdr:row>0</xdr:row>
      <xdr:rowOff>0</xdr:rowOff>
    </xdr:from>
    <xdr:to>
      <xdr:col>14</xdr:col>
      <xdr:colOff>59548</xdr:colOff>
      <xdr:row>1</xdr:row>
      <xdr:rowOff>25980</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a:stretch>
          <a:fillRect/>
        </a:stretch>
      </xdr:blipFill>
      <xdr:spPr>
        <a:xfrm>
          <a:off x="0" y="0"/>
          <a:ext cx="9962444" cy="35011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423958</xdr:colOff>
      <xdr:row>0</xdr:row>
      <xdr:rowOff>0</xdr:rowOff>
    </xdr:from>
    <xdr:to>
      <xdr:col>13</xdr:col>
      <xdr:colOff>572452</xdr:colOff>
      <xdr:row>1</xdr:row>
      <xdr:rowOff>11209</xdr:rowOff>
    </xdr:to>
    <xdr:pic>
      <xdr:nvPicPr>
        <xdr:cNvPr id="3" name="Gradientbar with swoosh 2" hidden="1">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23958" y="0"/>
          <a:ext cx="9207294" cy="352204"/>
        </a:xfrm>
        <a:prstGeom prst="rect">
          <a:avLst/>
        </a:prstGeom>
      </xdr:spPr>
    </xdr:pic>
    <xdr:clientData/>
  </xdr:twoCellAnchor>
  <xdr:twoCellAnchor editAs="oneCell">
    <xdr:from>
      <xdr:col>0</xdr:col>
      <xdr:colOff>460659</xdr:colOff>
      <xdr:row>0</xdr:row>
      <xdr:rowOff>0</xdr:rowOff>
    </xdr:from>
    <xdr:to>
      <xdr:col>12</xdr:col>
      <xdr:colOff>63037</xdr:colOff>
      <xdr:row>1</xdr:row>
      <xdr:rowOff>6965</xdr:rowOff>
    </xdr:to>
    <xdr:pic>
      <xdr:nvPicPr>
        <xdr:cNvPr id="4" name="Gradientbar with swoosh 1" hidden="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902463" cy="347960"/>
        </a:xfrm>
        <a:prstGeom prst="rect">
          <a:avLst/>
        </a:prstGeom>
      </xdr:spPr>
    </xdr:pic>
    <xdr:clientData/>
  </xdr:twoCellAnchor>
  <xdr:twoCellAnchor editAs="oneCell">
    <xdr:from>
      <xdr:col>0</xdr:col>
      <xdr:colOff>460659</xdr:colOff>
      <xdr:row>0</xdr:row>
      <xdr:rowOff>0</xdr:rowOff>
    </xdr:from>
    <xdr:to>
      <xdr:col>12</xdr:col>
      <xdr:colOff>63037</xdr:colOff>
      <xdr:row>1</xdr:row>
      <xdr:rowOff>6965</xdr:rowOff>
    </xdr:to>
    <xdr:pic>
      <xdr:nvPicPr>
        <xdr:cNvPr id="7" name="Gradientbar with swoosh 1" hidden="1">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a:extLst>
            <a:ext uri="{28A0092B-C50C-407E-A947-70E740481C1C}">
              <a14:useLocalDpi xmlns:a14="http://schemas.microsoft.com/office/drawing/2010/main" val="0"/>
            </a:ext>
          </a:extLst>
        </a:blip>
        <a:stretch>
          <a:fillRect/>
        </a:stretch>
      </xdr:blipFill>
      <xdr:spPr>
        <a:xfrm>
          <a:off x="460659" y="0"/>
          <a:ext cx="7902463" cy="347960"/>
        </a:xfrm>
        <a:prstGeom prst="rect">
          <a:avLst/>
        </a:prstGeom>
      </xdr:spPr>
    </xdr:pic>
    <xdr:clientData/>
  </xdr:twoCellAnchor>
  <xdr:twoCellAnchor editAs="oneCell">
    <xdr:from>
      <xdr:col>0</xdr:col>
      <xdr:colOff>0</xdr:colOff>
      <xdr:row>0</xdr:row>
      <xdr:rowOff>0</xdr:rowOff>
    </xdr:from>
    <xdr:to>
      <xdr:col>11</xdr:col>
      <xdr:colOff>274272</xdr:colOff>
      <xdr:row>1</xdr:row>
      <xdr:rowOff>10740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7754784" cy="34750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17</xdr:row>
      <xdr:rowOff>133350</xdr:rowOff>
    </xdr:to>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20</xdr:row>
      <xdr:rowOff>0</xdr:rowOff>
    </xdr:from>
    <xdr:to>
      <xdr:col>0</xdr:col>
      <xdr:colOff>0</xdr:colOff>
      <xdr:row>37</xdr:row>
      <xdr:rowOff>152400</xdr:rowOff>
    </xdr:to>
    <xdr:graphicFrame macro="">
      <xdr:nvGraphicFramePr>
        <xdr:cNvPr id="3" name="Chart 2">
          <a:extLst>
            <a:ext uri="{FF2B5EF4-FFF2-40B4-BE49-F238E27FC236}">
              <a16:creationId xmlns:a16="http://schemas.microsoft.com/office/drawing/2014/main" id="{00000000-0008-0000-0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285750</xdr:colOff>
      <xdr:row>28</xdr:row>
      <xdr:rowOff>21167</xdr:rowOff>
    </xdr:from>
    <xdr:to>
      <xdr:col>11</xdr:col>
      <xdr:colOff>55916</xdr:colOff>
      <xdr:row>54</xdr:row>
      <xdr:rowOff>127942</xdr:rowOff>
    </xdr:to>
    <xdr:graphicFrame macro="">
      <xdr:nvGraphicFramePr>
        <xdr:cNvPr id="5" name="Chart 1">
          <a:extLst>
            <a:ext uri="{FF2B5EF4-FFF2-40B4-BE49-F238E27FC236}">
              <a16:creationId xmlns:a16="http://schemas.microsoft.com/office/drawing/2014/main" id="{00000000-0008-0000-04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317500</xdr:colOff>
      <xdr:row>0</xdr:row>
      <xdr:rowOff>0</xdr:rowOff>
    </xdr:from>
    <xdr:to>
      <xdr:col>11</xdr:col>
      <xdr:colOff>87666</xdr:colOff>
      <xdr:row>26</xdr:row>
      <xdr:rowOff>106775</xdr:rowOff>
    </xdr:to>
    <xdr:graphicFrame macro="">
      <xdr:nvGraphicFramePr>
        <xdr:cNvPr id="6" name="Chart 1">
          <a:extLst>
            <a:ext uri="{FF2B5EF4-FFF2-40B4-BE49-F238E27FC236}">
              <a16:creationId xmlns:a16="http://schemas.microsoft.com/office/drawing/2014/main" id="{00000000-0008-0000-04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433917</xdr:colOff>
      <xdr:row>56</xdr:row>
      <xdr:rowOff>52917</xdr:rowOff>
    </xdr:from>
    <xdr:to>
      <xdr:col>11</xdr:col>
      <xdr:colOff>204083</xdr:colOff>
      <xdr:row>83</xdr:row>
      <xdr:rowOff>942</xdr:rowOff>
    </xdr:to>
    <xdr:graphicFrame macro="">
      <xdr:nvGraphicFramePr>
        <xdr:cNvPr id="7" name="Chart 1">
          <a:extLst>
            <a:ext uri="{FF2B5EF4-FFF2-40B4-BE49-F238E27FC236}">
              <a16:creationId xmlns:a16="http://schemas.microsoft.com/office/drawing/2014/main" id="{00000000-0008-0000-04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2" name="Picture 1">
          <a:extLst xmlns:a="http://schemas.openxmlformats.org/drawingml/2006/main">
            <a:ext uri="{FF2B5EF4-FFF2-40B4-BE49-F238E27FC236}">
              <a16:creationId xmlns:a16="http://schemas.microsoft.com/office/drawing/2014/main" id="{CD33BF5F-2A2F-4F61-B906-8548CC7D067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7.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2" name="Picture 1">
          <a:extLst xmlns:a="http://schemas.openxmlformats.org/drawingml/2006/main">
            <a:ext uri="{FF2B5EF4-FFF2-40B4-BE49-F238E27FC236}">
              <a16:creationId xmlns:a16="http://schemas.microsoft.com/office/drawing/2014/main" id="{D9C12E1F-F101-4205-B94B-FD61D0034BF3}"/>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8.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2" name="Picture 1">
          <a:extLst xmlns:a="http://schemas.openxmlformats.org/drawingml/2006/main">
            <a:ext uri="{FF2B5EF4-FFF2-40B4-BE49-F238E27FC236}">
              <a16:creationId xmlns:a16="http://schemas.microsoft.com/office/drawing/2014/main" id="{BB3D8E53-A258-41F2-BF39-FC380C8CC9C7}"/>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0</xdr:rowOff>
    </xdr:from>
    <xdr:to>
      <xdr:col>0</xdr:col>
      <xdr:colOff>0</xdr:colOff>
      <xdr:row>0</xdr:row>
      <xdr:rowOff>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325801</xdr:colOff>
      <xdr:row>1</xdr:row>
      <xdr:rowOff>49803</xdr:rowOff>
    </xdr:from>
    <xdr:to>
      <xdr:col>11</xdr:col>
      <xdr:colOff>92231</xdr:colOff>
      <xdr:row>28</xdr:row>
      <xdr:rowOff>83553</xdr:rowOff>
    </xdr:to>
    <xdr:graphicFrame macro="">
      <xdr:nvGraphicFramePr>
        <xdr:cNvPr id="6" name="Chart 1">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395942</xdr:colOff>
      <xdr:row>0</xdr:row>
      <xdr:rowOff>82176</xdr:rowOff>
    </xdr:from>
    <xdr:to>
      <xdr:col>22</xdr:col>
      <xdr:colOff>293856</xdr:colOff>
      <xdr:row>28</xdr:row>
      <xdr:rowOff>32630</xdr:rowOff>
    </xdr:to>
    <xdr:graphicFrame macro="">
      <xdr:nvGraphicFramePr>
        <xdr:cNvPr id="11" name="Chart 10">
          <a:extLst>
            <a:ext uri="{FF2B5EF4-FFF2-40B4-BE49-F238E27FC236}">
              <a16:creationId xmlns:a16="http://schemas.microsoft.com/office/drawing/2014/main" id="{A2DD62B3-1F29-4A5C-A7E9-64F45693A92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0.xml><?xml version="1.0" encoding="utf-8"?>
<c:userShapes xmlns:c="http://schemas.openxmlformats.org/drawingml/2006/chart">
  <cdr:relSizeAnchor xmlns:cdr="http://schemas.openxmlformats.org/drawingml/2006/chartDrawing">
    <cdr:from>
      <cdr:x>0.84127</cdr:x>
      <cdr:y>0</cdr:y>
    </cdr:from>
    <cdr:to>
      <cdr:x>1</cdr:x>
      <cdr:y>0.10802</cdr:y>
    </cdr:to>
    <cdr:pic>
      <cdr:nvPicPr>
        <cdr:cNvPr id="2" name="Picture 1">
          <a:extLst xmlns:a="http://schemas.openxmlformats.org/drawingml/2006/main">
            <a:ext uri="{FF2B5EF4-FFF2-40B4-BE49-F238E27FC236}">
              <a16:creationId xmlns:a16="http://schemas.microsoft.com/office/drawing/2014/main" id="{BB3D8E53-A258-41F2-BF39-FC380C8CC9C7}"/>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29" y="0"/>
          <a:ext cx="1028571" cy="466667"/>
        </a:xfrm>
        <a:prstGeom xmlns:a="http://schemas.openxmlformats.org/drawingml/2006/main" prst="rect">
          <a:avLst/>
        </a:prstGeom>
      </cdr:spPr>
    </cdr:pic>
  </cdr:relSizeAnchor>
</c:userShapes>
</file>

<file path=xl/drawings/drawing11.xml><?xml version="1.0" encoding="utf-8"?>
<c:userShapes xmlns:c="http://schemas.openxmlformats.org/drawingml/2006/chart">
  <cdr:relSizeAnchor xmlns:cdr="http://schemas.openxmlformats.org/drawingml/2006/chartDrawing">
    <cdr:from>
      <cdr:x>0.84127</cdr:x>
      <cdr:y>0.01176</cdr:y>
    </cdr:from>
    <cdr:to>
      <cdr:x>1</cdr:x>
      <cdr:y>0.11978</cdr:y>
    </cdr:to>
    <cdr:pic>
      <cdr:nvPicPr>
        <cdr:cNvPr id="2" name="Picture 1">
          <a:extLst xmlns:a="http://schemas.openxmlformats.org/drawingml/2006/main">
            <a:ext uri="{FF2B5EF4-FFF2-40B4-BE49-F238E27FC236}">
              <a16:creationId xmlns:a16="http://schemas.microsoft.com/office/drawing/2014/main" id="{02E40AAC-EEF8-42E2-9EA0-098B55BAD9D3}"/>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51430" y="50800"/>
          <a:ext cx="1028570" cy="466646"/>
        </a:xfrm>
        <a:prstGeom xmlns:a="http://schemas.openxmlformats.org/drawingml/2006/main" prst="rect">
          <a:avLst/>
        </a:prstGeom>
      </cdr:spPr>
    </cdr:pic>
  </cdr:relSizeAnchor>
  <cdr:relSizeAnchor xmlns:cdr="http://schemas.openxmlformats.org/drawingml/2006/chartDrawing">
    <cdr:from>
      <cdr:x>0</cdr:x>
      <cdr:y>0.94809</cdr:y>
    </cdr:from>
    <cdr:to>
      <cdr:x>0.30705</cdr:x>
      <cdr:y>0.99709</cdr:y>
    </cdr:to>
    <cdr:sp macro="" textlink="">
      <cdr:nvSpPr>
        <cdr:cNvPr id="5" name="TextBox 4">
          <a:extLst xmlns:a="http://schemas.openxmlformats.org/drawingml/2006/main">
            <a:ext uri="{FF2B5EF4-FFF2-40B4-BE49-F238E27FC236}">
              <a16:creationId xmlns:a16="http://schemas.microsoft.com/office/drawing/2014/main" id="{76D4A1BD-4BF5-4101-BC74-63C3B9E168D7}"/>
            </a:ext>
          </a:extLst>
        </cdr:cNvPr>
        <cdr:cNvSpPr txBox="1"/>
      </cdr:nvSpPr>
      <cdr:spPr>
        <a:xfrm xmlns:a="http://schemas.openxmlformats.org/drawingml/2006/main">
          <a:off x="0" y="4095751"/>
          <a:ext cx="1989667" cy="21166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1200">
              <a:solidFill>
                <a:schemeClr val="tx1"/>
              </a:solidFill>
              <a:latin typeface="Arial" panose="020B0604020202020204" pitchFamily="34" charset="0"/>
              <a:cs typeface="Arial" panose="020B0604020202020204" pitchFamily="34" charset="0"/>
            </a:rPr>
            <a:t>Source: AHDB</a:t>
          </a:r>
        </a:p>
      </cdr:txBody>
    </cdr:sp>
  </cdr:relSizeAnchor>
</c:userShapes>
</file>

<file path=xl/theme/theme1.xml><?xml version="1.0" encoding="utf-8"?>
<a:theme xmlns:a="http://schemas.openxmlformats.org/drawingml/2006/main" name="Office Theme">
  <a:themeElements>
    <a:clrScheme name="AHDB graphs">
      <a:dk1>
        <a:srgbClr val="575756"/>
      </a:dk1>
      <a:lt1>
        <a:srgbClr val="FFFFFF"/>
      </a:lt1>
      <a:dk2>
        <a:srgbClr val="974008"/>
      </a:dk2>
      <a:lt2>
        <a:srgbClr val="AA977D"/>
      </a:lt2>
      <a:accent1>
        <a:srgbClr val="0090D3"/>
      </a:accent1>
      <a:accent2>
        <a:srgbClr val="C8D300"/>
      </a:accent2>
      <a:accent3>
        <a:srgbClr val="DA5914"/>
      </a:accent3>
      <a:accent4>
        <a:srgbClr val="B3C6CE"/>
      </a:accent4>
      <a:accent5>
        <a:srgbClr val="1E4451"/>
      </a:accent5>
      <a:accent6>
        <a:srgbClr val="DFD5B3"/>
      </a:accent6>
      <a:hlink>
        <a:srgbClr val="0090D3"/>
      </a:hlink>
      <a:folHlink>
        <a:srgbClr val="8B9C2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AHDB graphs">
    <a:dk1>
      <a:srgbClr val="575756"/>
    </a:dk1>
    <a:lt1>
      <a:srgbClr val="FFFFFF"/>
    </a:lt1>
    <a:dk2>
      <a:srgbClr val="974008"/>
    </a:dk2>
    <a:lt2>
      <a:srgbClr val="AA977D"/>
    </a:lt2>
    <a:accent1>
      <a:srgbClr val="0090D3"/>
    </a:accent1>
    <a:accent2>
      <a:srgbClr val="C8D300"/>
    </a:accent2>
    <a:accent3>
      <a:srgbClr val="DA5914"/>
    </a:accent3>
    <a:accent4>
      <a:srgbClr val="B3C6CE"/>
    </a:accent4>
    <a:accent5>
      <a:srgbClr val="1E4451"/>
    </a:accent5>
    <a:accent6>
      <a:srgbClr val="DFD5B3"/>
    </a:accent6>
    <a:hlink>
      <a:srgbClr val="0090D3"/>
    </a:hlink>
    <a:folHlink>
      <a:srgbClr val="8B9C2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ahdb.org.uk/" TargetMode="External"/><Relationship Id="rId1" Type="http://schemas.openxmlformats.org/officeDocument/2006/relationships/hyperlink" Target="mailto:mi@ahdb.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D129"/>
  <sheetViews>
    <sheetView tabSelected="1" zoomScaleNormal="100" workbookViewId="0">
      <pane xSplit="2" ySplit="9" topLeftCell="C119" activePane="bottomRight" state="frozen"/>
      <selection pane="topRight" activeCell="C1" sqref="C1"/>
      <selection pane="bottomLeft" activeCell="A10" sqref="A10"/>
      <selection pane="bottomRight" activeCell="J133" sqref="J133"/>
    </sheetView>
  </sheetViews>
  <sheetFormatPr defaultColWidth="9.09765625" defaultRowHeight="13" x14ac:dyDescent="0.3"/>
  <cols>
    <col min="1" max="1" width="8.69921875" style="74" customWidth="1"/>
    <col min="2" max="2" width="11.69921875" style="74" customWidth="1"/>
    <col min="3" max="3" width="16.296875" style="74" customWidth="1"/>
    <col min="4" max="4" width="13.59765625" style="74" customWidth="1"/>
    <col min="5" max="16384" width="9.09765625" style="74"/>
  </cols>
  <sheetData>
    <row r="3" spans="1:4" ht="20" x14ac:dyDescent="0.4">
      <c r="A3" s="26" t="s">
        <v>36</v>
      </c>
    </row>
    <row r="4" spans="1:4" ht="15.5" x14ac:dyDescent="0.3">
      <c r="A4" s="7" t="s">
        <v>40</v>
      </c>
    </row>
    <row r="5" spans="1:4" ht="15.5" x14ac:dyDescent="0.3">
      <c r="A5" s="11" t="s">
        <v>37</v>
      </c>
    </row>
    <row r="6" spans="1:4" ht="15.5" x14ac:dyDescent="0.3">
      <c r="A6" s="7" t="s">
        <v>64</v>
      </c>
    </row>
    <row r="8" spans="1:4" ht="15.5" x14ac:dyDescent="0.3">
      <c r="B8" s="18"/>
      <c r="C8" s="94" t="s">
        <v>38</v>
      </c>
      <c r="D8" s="95"/>
    </row>
    <row r="9" spans="1:4" ht="46.5" x14ac:dyDescent="0.3">
      <c r="B9" s="18"/>
      <c r="C9" s="76" t="s">
        <v>41</v>
      </c>
      <c r="D9" s="77" t="s">
        <v>42</v>
      </c>
    </row>
    <row r="10" spans="1:4" ht="15.5" x14ac:dyDescent="0.3">
      <c r="B10" s="42">
        <v>42095</v>
      </c>
      <c r="C10" s="82">
        <v>23.583438102261695</v>
      </c>
      <c r="D10" s="37"/>
    </row>
    <row r="11" spans="1:4" ht="15.5" x14ac:dyDescent="0.3">
      <c r="B11" s="41">
        <v>42125</v>
      </c>
      <c r="C11" s="83">
        <v>23.107135021791638</v>
      </c>
      <c r="D11" s="34">
        <f>C11-C10</f>
        <v>-0.47630308047005698</v>
      </c>
    </row>
    <row r="12" spans="1:4" ht="15.5" x14ac:dyDescent="0.3">
      <c r="B12" s="42">
        <v>42156</v>
      </c>
      <c r="C12" s="82">
        <v>22.661023512168438</v>
      </c>
      <c r="D12" s="37">
        <f t="shared" ref="D12:D75" si="0">C12-C11</f>
        <v>-0.44611150962320067</v>
      </c>
    </row>
    <row r="13" spans="1:4" ht="15.5" x14ac:dyDescent="0.3">
      <c r="B13" s="41">
        <v>42186</v>
      </c>
      <c r="C13" s="83">
        <v>21.405033024348061</v>
      </c>
      <c r="D13" s="34">
        <f t="shared" si="0"/>
        <v>-1.2559904878203767</v>
      </c>
    </row>
    <row r="14" spans="1:4" ht="15.5" x14ac:dyDescent="0.3">
      <c r="B14" s="42">
        <v>42217</v>
      </c>
      <c r="C14" s="82">
        <v>19.195255581268434</v>
      </c>
      <c r="D14" s="37">
        <f t="shared" si="0"/>
        <v>-2.2097774430796271</v>
      </c>
    </row>
    <row r="15" spans="1:4" ht="15.5" x14ac:dyDescent="0.3">
      <c r="B15" s="41">
        <v>42248</v>
      </c>
      <c r="C15" s="83">
        <v>19.619037495162189</v>
      </c>
      <c r="D15" s="34">
        <f t="shared" si="0"/>
        <v>0.4237819138937553</v>
      </c>
    </row>
    <row r="16" spans="1:4" ht="15.5" x14ac:dyDescent="0.3">
      <c r="B16" s="42">
        <v>42278</v>
      </c>
      <c r="C16" s="82">
        <v>20.124609867865551</v>
      </c>
      <c r="D16" s="37">
        <f t="shared" si="0"/>
        <v>0.5055723727033623</v>
      </c>
    </row>
    <row r="17" spans="2:4" ht="15.5" x14ac:dyDescent="0.3">
      <c r="B17" s="41">
        <v>42309</v>
      </c>
      <c r="C17" s="83">
        <v>18.486262911367664</v>
      </c>
      <c r="D17" s="34">
        <f t="shared" si="0"/>
        <v>-1.6383469564978874</v>
      </c>
    </row>
    <row r="18" spans="2:4" ht="15.5" x14ac:dyDescent="0.3">
      <c r="B18" s="42">
        <v>42339</v>
      </c>
      <c r="C18" s="82">
        <v>18.352001038909002</v>
      </c>
      <c r="D18" s="37">
        <f t="shared" si="0"/>
        <v>-0.13426187245866217</v>
      </c>
    </row>
    <row r="19" spans="2:4" ht="15.5" x14ac:dyDescent="0.3">
      <c r="B19" s="41">
        <v>42370</v>
      </c>
      <c r="C19" s="83">
        <v>17.399139290732172</v>
      </c>
      <c r="D19" s="34">
        <f t="shared" si="0"/>
        <v>-0.95286174817682934</v>
      </c>
    </row>
    <row r="20" spans="2:4" ht="15.5" x14ac:dyDescent="0.3">
      <c r="B20" s="42">
        <v>42401</v>
      </c>
      <c r="C20" s="82">
        <v>17.127135604432262</v>
      </c>
      <c r="D20" s="37">
        <f t="shared" si="0"/>
        <v>-0.2720036862999109</v>
      </c>
    </row>
    <row r="21" spans="2:4" ht="15.5" x14ac:dyDescent="0.3">
      <c r="B21" s="41">
        <v>42430</v>
      </c>
      <c r="C21" s="83">
        <v>16.072860274558927</v>
      </c>
      <c r="D21" s="34">
        <f t="shared" si="0"/>
        <v>-1.0542753298733345</v>
      </c>
    </row>
    <row r="22" spans="2:4" ht="15.5" x14ac:dyDescent="0.3">
      <c r="B22" s="42">
        <v>42461</v>
      </c>
      <c r="C22" s="82">
        <v>15.663095213559561</v>
      </c>
      <c r="D22" s="37">
        <f t="shared" si="0"/>
        <v>-0.40976506099936572</v>
      </c>
    </row>
    <row r="23" spans="2:4" ht="15.5" x14ac:dyDescent="0.3">
      <c r="B23" s="41">
        <v>42491</v>
      </c>
      <c r="C23" s="83">
        <v>16.61067827316824</v>
      </c>
      <c r="D23" s="34">
        <f t="shared" si="0"/>
        <v>0.94758305960867872</v>
      </c>
    </row>
    <row r="24" spans="2:4" ht="15.5" x14ac:dyDescent="0.3">
      <c r="B24" s="42">
        <v>42522</v>
      </c>
      <c r="C24" s="82">
        <v>19.491217211027774</v>
      </c>
      <c r="D24" s="37">
        <f t="shared" si="0"/>
        <v>2.8805389378595336</v>
      </c>
    </row>
    <row r="25" spans="2:4" ht="15.5" x14ac:dyDescent="0.3">
      <c r="B25" s="41">
        <v>42552</v>
      </c>
      <c r="C25" s="83">
        <v>23.50852206430153</v>
      </c>
      <c r="D25" s="34">
        <f t="shared" si="0"/>
        <v>4.0173048532737567</v>
      </c>
    </row>
    <row r="26" spans="2:4" ht="15.5" x14ac:dyDescent="0.3">
      <c r="B26" s="42">
        <v>42583</v>
      </c>
      <c r="C26" s="82">
        <v>27.618778168032676</v>
      </c>
      <c r="D26" s="37">
        <f t="shared" si="0"/>
        <v>4.110256103731146</v>
      </c>
    </row>
    <row r="27" spans="2:4" ht="15.5" x14ac:dyDescent="0.3">
      <c r="B27" s="41">
        <v>42614</v>
      </c>
      <c r="C27" s="83">
        <v>31.613683434457585</v>
      </c>
      <c r="D27" s="34">
        <f t="shared" si="0"/>
        <v>3.9949052664249081</v>
      </c>
    </row>
    <row r="28" spans="2:4" ht="15.5" x14ac:dyDescent="0.3">
      <c r="B28" s="42">
        <v>42644</v>
      </c>
      <c r="C28" s="82">
        <v>33.41964173255608</v>
      </c>
      <c r="D28" s="37">
        <f t="shared" si="0"/>
        <v>1.8059582980984956</v>
      </c>
    </row>
    <row r="29" spans="2:4" ht="15.5" x14ac:dyDescent="0.3">
      <c r="B29" s="41">
        <v>42675</v>
      </c>
      <c r="C29" s="83">
        <v>33.238706462298026</v>
      </c>
      <c r="D29" s="34">
        <f t="shared" si="0"/>
        <v>-0.180935270258054</v>
      </c>
    </row>
    <row r="30" spans="2:4" ht="15.5" x14ac:dyDescent="0.3">
      <c r="B30" s="42">
        <v>42705</v>
      </c>
      <c r="C30" s="82">
        <v>33.023307899129314</v>
      </c>
      <c r="D30" s="37">
        <f t="shared" si="0"/>
        <v>-0.21539856316871209</v>
      </c>
    </row>
    <row r="31" spans="2:4" ht="15.5" x14ac:dyDescent="0.3">
      <c r="B31" s="41">
        <v>42736</v>
      </c>
      <c r="C31" s="83">
        <v>33.064114564195897</v>
      </c>
      <c r="D31" s="34">
        <f t="shared" si="0"/>
        <v>4.0806665066583037E-2</v>
      </c>
    </row>
    <row r="32" spans="2:4" ht="15.5" x14ac:dyDescent="0.3">
      <c r="B32" s="42">
        <v>42767</v>
      </c>
      <c r="C32" s="82">
        <v>31.473979575974866</v>
      </c>
      <c r="D32" s="37">
        <f t="shared" si="0"/>
        <v>-1.5901349882210312</v>
      </c>
    </row>
    <row r="33" spans="2:4" ht="15.5" x14ac:dyDescent="0.3">
      <c r="B33" s="41">
        <v>42795</v>
      </c>
      <c r="C33" s="83">
        <v>31.223895013619796</v>
      </c>
      <c r="D33" s="34">
        <f t="shared" si="0"/>
        <v>-0.25008456235507026</v>
      </c>
    </row>
    <row r="34" spans="2:4" ht="15.5" x14ac:dyDescent="0.3">
      <c r="B34" s="42">
        <v>42826</v>
      </c>
      <c r="C34" s="82">
        <v>30.963559182932279</v>
      </c>
      <c r="D34" s="37">
        <f t="shared" si="0"/>
        <v>-0.26033583068751653</v>
      </c>
    </row>
    <row r="35" spans="2:4" ht="15.5" x14ac:dyDescent="0.3">
      <c r="B35" s="41">
        <v>42856</v>
      </c>
      <c r="C35" s="83">
        <v>32.835124282186086</v>
      </c>
      <c r="D35" s="34">
        <f t="shared" si="0"/>
        <v>1.8715650992538073</v>
      </c>
    </row>
    <row r="36" spans="2:4" ht="15.5" x14ac:dyDescent="0.3">
      <c r="B36" s="42">
        <v>42887</v>
      </c>
      <c r="C36" s="82">
        <v>36.813611749548983</v>
      </c>
      <c r="D36" s="37">
        <f t="shared" si="0"/>
        <v>3.9784874673628963</v>
      </c>
    </row>
    <row r="37" spans="2:4" ht="15.5" x14ac:dyDescent="0.3">
      <c r="B37" s="41">
        <v>42917</v>
      </c>
      <c r="C37" s="83">
        <v>37.052557505550269</v>
      </c>
      <c r="D37" s="34">
        <f t="shared" si="0"/>
        <v>0.23894575600128576</v>
      </c>
    </row>
    <row r="38" spans="2:4" ht="15.5" x14ac:dyDescent="0.3">
      <c r="B38" s="42">
        <v>42948</v>
      </c>
      <c r="C38" s="82">
        <v>38.982239122742783</v>
      </c>
      <c r="D38" s="37">
        <f t="shared" si="0"/>
        <v>1.9296816171925144</v>
      </c>
    </row>
    <row r="39" spans="2:4" ht="15.5" x14ac:dyDescent="0.3">
      <c r="B39" s="41">
        <v>42979</v>
      </c>
      <c r="C39" s="83">
        <v>38.762557790195579</v>
      </c>
      <c r="D39" s="34">
        <f t="shared" si="0"/>
        <v>-0.21968133254720357</v>
      </c>
    </row>
    <row r="40" spans="2:4" ht="15.5" x14ac:dyDescent="0.3">
      <c r="B40" s="42">
        <v>43009</v>
      </c>
      <c r="C40" s="82">
        <v>35.830983315959593</v>
      </c>
      <c r="D40" s="37">
        <f t="shared" si="0"/>
        <v>-2.9315744742359868</v>
      </c>
    </row>
    <row r="41" spans="2:4" ht="15.5" x14ac:dyDescent="0.3">
      <c r="B41" s="41">
        <v>43040</v>
      </c>
      <c r="C41" s="83">
        <v>33.736370944665218</v>
      </c>
      <c r="D41" s="34">
        <f t="shared" si="0"/>
        <v>-2.0946123712943745</v>
      </c>
    </row>
    <row r="42" spans="2:4" ht="15.5" x14ac:dyDescent="0.3">
      <c r="B42" s="42">
        <v>43070</v>
      </c>
      <c r="C42" s="82">
        <v>30.769540374532323</v>
      </c>
      <c r="D42" s="37">
        <f t="shared" si="0"/>
        <v>-2.9668305701328954</v>
      </c>
    </row>
    <row r="43" spans="2:4" ht="15.5" x14ac:dyDescent="0.3">
      <c r="B43" s="41">
        <v>43101</v>
      </c>
      <c r="C43" s="83">
        <v>28.884515254582229</v>
      </c>
      <c r="D43" s="34">
        <f t="shared" si="0"/>
        <v>-1.8850251199500931</v>
      </c>
    </row>
    <row r="44" spans="2:4" ht="15.5" x14ac:dyDescent="0.3">
      <c r="B44" s="42">
        <v>43132</v>
      </c>
      <c r="C44" s="82">
        <v>30.418528017998895</v>
      </c>
      <c r="D44" s="37">
        <f t="shared" si="0"/>
        <v>1.5340127634166656</v>
      </c>
    </row>
    <row r="45" spans="2:4" ht="15.5" x14ac:dyDescent="0.3">
      <c r="B45" s="41">
        <v>43160</v>
      </c>
      <c r="C45" s="83">
        <v>30.17629355516646</v>
      </c>
      <c r="D45" s="34">
        <f t="shared" si="0"/>
        <v>-0.24223446283243533</v>
      </c>
    </row>
    <row r="46" spans="2:4" ht="15.5" x14ac:dyDescent="0.3">
      <c r="B46" s="42">
        <v>43191</v>
      </c>
      <c r="C46" s="82">
        <v>30.885178988235577</v>
      </c>
      <c r="D46" s="37">
        <f t="shared" si="0"/>
        <v>0.708885433069117</v>
      </c>
    </row>
    <row r="47" spans="2:4" ht="15.5" x14ac:dyDescent="0.3">
      <c r="B47" s="41">
        <v>43221</v>
      </c>
      <c r="C47" s="83">
        <v>32.477641593821765</v>
      </c>
      <c r="D47" s="34">
        <f t="shared" si="0"/>
        <v>1.5924626055861886</v>
      </c>
    </row>
    <row r="48" spans="2:4" ht="15.5" x14ac:dyDescent="0.3">
      <c r="B48" s="42">
        <v>43252</v>
      </c>
      <c r="C48" s="82">
        <v>32.864942026653239</v>
      </c>
      <c r="D48" s="37">
        <f t="shared" si="0"/>
        <v>0.38730043283147353</v>
      </c>
    </row>
    <row r="49" spans="2:4" ht="15.5" x14ac:dyDescent="0.3">
      <c r="B49" s="41">
        <v>43282</v>
      </c>
      <c r="C49" s="83">
        <v>33.055662494705061</v>
      </c>
      <c r="D49" s="34">
        <f t="shared" si="0"/>
        <v>0.19072046805182197</v>
      </c>
    </row>
    <row r="50" spans="2:4" ht="15.5" x14ac:dyDescent="0.3">
      <c r="B50" s="42">
        <v>43313</v>
      </c>
      <c r="C50" s="82">
        <v>33.530662317368495</v>
      </c>
      <c r="D50" s="37">
        <f t="shared" si="0"/>
        <v>0.47499982266343466</v>
      </c>
    </row>
    <row r="51" spans="2:4" ht="15.5" x14ac:dyDescent="0.3">
      <c r="B51" s="41">
        <v>43344</v>
      </c>
      <c r="C51" s="83">
        <v>33.273185896293505</v>
      </c>
      <c r="D51" s="34">
        <f t="shared" si="0"/>
        <v>-0.25747642107499047</v>
      </c>
    </row>
    <row r="52" spans="2:4" ht="15.5" x14ac:dyDescent="0.3">
      <c r="B52" s="42">
        <v>43374</v>
      </c>
      <c r="C52" s="82">
        <f>(0.2*'AMPE-MCVE'!C51)+(0.8*'AMPE-MCVE'!D51)</f>
        <v>32.440828444558576</v>
      </c>
      <c r="D52" s="37">
        <f t="shared" si="0"/>
        <v>-0.83235745173492859</v>
      </c>
    </row>
    <row r="53" spans="2:4" ht="15.5" x14ac:dyDescent="0.3">
      <c r="B53" s="41">
        <v>43405</v>
      </c>
      <c r="C53" s="83">
        <f>(0.2*'AMPE-MCVE'!C52)+(0.8*'AMPE-MCVE'!D52)</f>
        <v>30.850367304160251</v>
      </c>
      <c r="D53" s="34">
        <f t="shared" si="0"/>
        <v>-1.5904611403983253</v>
      </c>
    </row>
    <row r="54" spans="2:4" ht="15.5" x14ac:dyDescent="0.3">
      <c r="B54" s="42">
        <v>43435</v>
      </c>
      <c r="C54" s="82">
        <f>(0.2*'AMPE-MCVE'!C53)+(0.8*'AMPE-MCVE'!D53)</f>
        <v>30.918347659183638</v>
      </c>
      <c r="D54" s="37">
        <f t="shared" si="0"/>
        <v>6.7980355023387062E-2</v>
      </c>
    </row>
    <row r="55" spans="2:4" ht="15.5" x14ac:dyDescent="0.3">
      <c r="B55" s="41">
        <v>43466</v>
      </c>
      <c r="C55" s="83">
        <f>(0.2*'AMPE-MCVE'!C54)+(0.8*'AMPE-MCVE'!D54)</f>
        <v>31.920495325488375</v>
      </c>
      <c r="D55" s="34">
        <f t="shared" si="0"/>
        <v>1.0021476663047366</v>
      </c>
    </row>
    <row r="56" spans="2:4" ht="15.5" x14ac:dyDescent="0.3">
      <c r="B56" s="42">
        <v>43497</v>
      </c>
      <c r="C56" s="82">
        <f>(0.2*'AMPE-MCVE'!C55)+(0.8*'AMPE-MCVE'!D55)</f>
        <v>31.602637764670661</v>
      </c>
      <c r="D56" s="37">
        <f t="shared" si="0"/>
        <v>-0.3178575608177141</v>
      </c>
    </row>
    <row r="57" spans="2:4" ht="15.5" x14ac:dyDescent="0.3">
      <c r="B57" s="41">
        <v>43525</v>
      </c>
      <c r="C57" s="83">
        <f>(0.2*'AMPE-MCVE'!C56)+(0.8*'AMPE-MCVE'!D56)</f>
        <v>30.893834175591827</v>
      </c>
      <c r="D57" s="34">
        <f t="shared" si="0"/>
        <v>-0.70880358907883334</v>
      </c>
    </row>
    <row r="58" spans="2:4" ht="15.5" x14ac:dyDescent="0.3">
      <c r="B58" s="42">
        <v>43556</v>
      </c>
      <c r="C58" s="82">
        <f>(0.2*'AMPE-MCVE'!C57)+(0.8*'AMPE-MCVE'!D57)</f>
        <v>30.598870523516762</v>
      </c>
      <c r="D58" s="37">
        <f t="shared" si="0"/>
        <v>-0.29496365207506514</v>
      </c>
    </row>
    <row r="59" spans="2:4" ht="15.5" x14ac:dyDescent="0.3">
      <c r="B59" s="41">
        <v>43586</v>
      </c>
      <c r="C59" s="83">
        <f>(0.2*'AMPE-MCVE'!C58)+(0.8*'AMPE-MCVE'!D58)</f>
        <v>30.649946363172511</v>
      </c>
      <c r="D59" s="34">
        <f t="shared" si="0"/>
        <v>5.1075839655748467E-2</v>
      </c>
    </row>
    <row r="60" spans="2:4" ht="15.5" x14ac:dyDescent="0.3">
      <c r="B60" s="42">
        <v>43617</v>
      </c>
      <c r="C60" s="82">
        <f>(0.2*'AMPE-MCVE'!C59)+(0.8*'AMPE-MCVE'!D59)</f>
        <v>30.56524209265784</v>
      </c>
      <c r="D60" s="37">
        <f t="shared" si="0"/>
        <v>-8.4704270514670554E-2</v>
      </c>
    </row>
    <row r="61" spans="2:4" ht="15.5" x14ac:dyDescent="0.3">
      <c r="B61" s="41">
        <v>43647</v>
      </c>
      <c r="C61" s="83">
        <f>(0.2*'AMPE-MCVE'!C60)+(0.8*'AMPE-MCVE'!D60)</f>
        <v>30.175663996839766</v>
      </c>
      <c r="D61" s="34">
        <f t="shared" si="0"/>
        <v>-0.38957809581807368</v>
      </c>
    </row>
    <row r="62" spans="2:4" ht="15.5" x14ac:dyDescent="0.3">
      <c r="B62" s="42">
        <v>43678</v>
      </c>
      <c r="C62" s="82">
        <f>(0.2*'AMPE-MCVE'!C61)+(0.8*'AMPE-MCVE'!D61)</f>
        <v>30.05332966715725</v>
      </c>
      <c r="D62" s="37">
        <f t="shared" si="0"/>
        <v>-0.12233432968251634</v>
      </c>
    </row>
    <row r="63" spans="2:4" ht="15.5" x14ac:dyDescent="0.3">
      <c r="B63" s="41">
        <v>43709</v>
      </c>
      <c r="C63" s="83">
        <f>(0.2*'AMPE-MCVE'!C62)+(0.8*'AMPE-MCVE'!D62)</f>
        <v>30.460658990248312</v>
      </c>
      <c r="D63" s="34">
        <f t="shared" si="0"/>
        <v>0.40732932309106218</v>
      </c>
    </row>
    <row r="64" spans="2:4" ht="15.5" x14ac:dyDescent="0.3">
      <c r="B64" s="42">
        <v>43739</v>
      </c>
      <c r="C64" s="82">
        <f>(0.2*'AMPE-MCVE'!C63)+(0.8*'AMPE-MCVE'!D63)</f>
        <v>30.710755088101219</v>
      </c>
      <c r="D64" s="37">
        <f t="shared" si="0"/>
        <v>0.25009609785290721</v>
      </c>
    </row>
    <row r="65" spans="2:4" ht="15.5" x14ac:dyDescent="0.3">
      <c r="B65" s="41">
        <v>43770</v>
      </c>
      <c r="C65" s="83">
        <f>(0.2*'AMPE-MCVE'!C64)+(0.8*'AMPE-MCVE'!D64)</f>
        <v>30.991530023456932</v>
      </c>
      <c r="D65" s="34">
        <f t="shared" si="0"/>
        <v>0.28077493535571207</v>
      </c>
    </row>
    <row r="66" spans="2:4" ht="15.5" x14ac:dyDescent="0.3">
      <c r="B66" s="42">
        <v>43800</v>
      </c>
      <c r="C66" s="82">
        <f>(0.2*'AMPE-MCVE'!C65)+(0.8*'AMPE-MCVE'!D65)</f>
        <v>30.968154145441972</v>
      </c>
      <c r="D66" s="37">
        <f t="shared" si="0"/>
        <v>-2.3375878014959994E-2</v>
      </c>
    </row>
    <row r="67" spans="2:4" ht="15.5" x14ac:dyDescent="0.3">
      <c r="B67" s="41">
        <v>43831</v>
      </c>
      <c r="C67" s="83">
        <f>(0.2*'AMPE-MCVE'!C66)+(0.8*'AMPE-MCVE'!D66)</f>
        <v>31.052912894439693</v>
      </c>
      <c r="D67" s="34">
        <f t="shared" si="0"/>
        <v>8.4758748997721511E-2</v>
      </c>
    </row>
    <row r="68" spans="2:4" ht="15.5" x14ac:dyDescent="0.3">
      <c r="B68" s="42">
        <v>43862</v>
      </c>
      <c r="C68" s="82">
        <f>(0.2*'AMPE-MCVE'!C67)+(0.8*'AMPE-MCVE'!D67)</f>
        <v>31.130556308522159</v>
      </c>
      <c r="D68" s="37">
        <f t="shared" si="0"/>
        <v>7.7643414082466222E-2</v>
      </c>
    </row>
    <row r="69" spans="2:4" ht="15.5" x14ac:dyDescent="0.3">
      <c r="B69" s="41">
        <v>43891</v>
      </c>
      <c r="C69" s="83">
        <f>(0.2*'AMPE-MCVE'!C68)+(0.8*'AMPE-MCVE'!D68)</f>
        <v>31.077017480591913</v>
      </c>
      <c r="D69" s="34">
        <f t="shared" si="0"/>
        <v>-5.3538827930246669E-2</v>
      </c>
    </row>
    <row r="70" spans="2:4" ht="15.5" x14ac:dyDescent="0.3">
      <c r="B70" s="42">
        <v>43922</v>
      </c>
      <c r="C70" s="82">
        <f>(0.2*'AMPE-MCVE'!C69)+(0.8*'AMPE-MCVE'!D69)</f>
        <v>29.303646929628744</v>
      </c>
      <c r="D70" s="37">
        <f t="shared" si="0"/>
        <v>-1.7733705509631683</v>
      </c>
    </row>
    <row r="71" spans="2:4" ht="15.5" x14ac:dyDescent="0.3">
      <c r="B71" s="41">
        <v>43952</v>
      </c>
      <c r="C71" s="83">
        <f>(0.2*'AMPE-MCVE'!C70)+(0.8*'AMPE-MCVE'!D70)</f>
        <v>29.845202219195286</v>
      </c>
      <c r="D71" s="34">
        <f t="shared" si="0"/>
        <v>0.54155528956654209</v>
      </c>
    </row>
    <row r="72" spans="2:4" ht="15.5" x14ac:dyDescent="0.3">
      <c r="B72" s="42">
        <v>43983</v>
      </c>
      <c r="C72" s="82">
        <f>(0.2*'AMPE-MCVE'!C71)+(0.8*'AMPE-MCVE'!D71)</f>
        <v>31.14187129879906</v>
      </c>
      <c r="D72" s="37">
        <f t="shared" si="0"/>
        <v>1.2966690796037739</v>
      </c>
    </row>
    <row r="73" spans="2:4" ht="15.5" x14ac:dyDescent="0.3">
      <c r="B73" s="41">
        <v>44013</v>
      </c>
      <c r="C73" s="83">
        <f>(0.2*'AMPE-MCVE'!C72)+(0.8*'AMPE-MCVE'!D72)</f>
        <v>31.062001758763813</v>
      </c>
      <c r="D73" s="34">
        <f t="shared" si="0"/>
        <v>-7.9869540035247155E-2</v>
      </c>
    </row>
    <row r="74" spans="2:4" ht="15.5" x14ac:dyDescent="0.3">
      <c r="B74" s="42">
        <v>44044</v>
      </c>
      <c r="C74" s="82">
        <f>(0.2*'AMPE-MCVE'!C73)+(0.8*'AMPE-MCVE'!D73)</f>
        <v>30.88145390791496</v>
      </c>
      <c r="D74" s="37">
        <f t="shared" si="0"/>
        <v>-0.18054785084885339</v>
      </c>
    </row>
    <row r="75" spans="2:4" ht="15.5" x14ac:dyDescent="0.3">
      <c r="B75" s="41">
        <v>44075</v>
      </c>
      <c r="C75" s="83">
        <f>(0.2*'AMPE-MCVE'!C74)+(0.8*'AMPE-MCVE'!D74)</f>
        <v>31.182226301849546</v>
      </c>
      <c r="D75" s="34">
        <f t="shared" si="0"/>
        <v>0.30077239393458655</v>
      </c>
    </row>
    <row r="76" spans="2:4" ht="15.5" x14ac:dyDescent="0.3">
      <c r="B76" s="42">
        <v>44105</v>
      </c>
      <c r="C76" s="82">
        <f>(0.2*'AMPE-MCVE'!C75)+(0.8*'AMPE-MCVE'!D75)</f>
        <v>31.259506029222027</v>
      </c>
      <c r="D76" s="37">
        <f t="shared" ref="D76:D84" si="1">C76-C75</f>
        <v>7.7279727372481233E-2</v>
      </c>
    </row>
    <row r="77" spans="2:4" ht="15.5" x14ac:dyDescent="0.3">
      <c r="B77" s="41">
        <v>44136</v>
      </c>
      <c r="C77" s="83">
        <f>(0.2*'AMPE-MCVE'!C76)+(0.8*'AMPE-MCVE'!D76)</f>
        <v>31.073794068866881</v>
      </c>
      <c r="D77" s="34">
        <f t="shared" si="1"/>
        <v>-0.18571196035514603</v>
      </c>
    </row>
    <row r="78" spans="2:4" ht="15.5" x14ac:dyDescent="0.3">
      <c r="B78" s="42">
        <v>44166</v>
      </c>
      <c r="C78" s="82">
        <f>(0.2*'AMPE-MCVE'!C77)+(0.8*'AMPE-MCVE'!D77)</f>
        <v>31.360872763083314</v>
      </c>
      <c r="D78" s="37">
        <f t="shared" si="1"/>
        <v>0.28707869421643295</v>
      </c>
    </row>
    <row r="79" spans="2:4" ht="15.5" x14ac:dyDescent="0.3">
      <c r="B79" s="41">
        <v>44197</v>
      </c>
      <c r="C79" s="83">
        <f>(0.2*'AMPE-MCVE'!C78)+(0.8*'AMPE-MCVE'!D78)</f>
        <v>31.675223147156341</v>
      </c>
      <c r="D79" s="34">
        <f t="shared" si="1"/>
        <v>0.31435038407302685</v>
      </c>
    </row>
    <row r="80" spans="2:4" ht="15.5" x14ac:dyDescent="0.3">
      <c r="B80" s="42">
        <v>44228</v>
      </c>
      <c r="C80" s="82">
        <f>(0.2*'AMPE-MCVE'!C79)+(0.8*'AMPE-MCVE'!D79)</f>
        <v>32.144983661440051</v>
      </c>
      <c r="D80" s="37">
        <f t="shared" si="1"/>
        <v>0.4697605142837098</v>
      </c>
    </row>
    <row r="81" spans="2:4" ht="15.5" x14ac:dyDescent="0.3">
      <c r="B81" s="41">
        <v>44256</v>
      </c>
      <c r="C81" s="83">
        <f>(0.2*'AMPE-MCVE'!C80)+(0.8*'AMPE-MCVE'!D80)</f>
        <v>32.876394833039626</v>
      </c>
      <c r="D81" s="34">
        <f t="shared" si="1"/>
        <v>0.73141117159957503</v>
      </c>
    </row>
    <row r="82" spans="2:4" ht="15.5" x14ac:dyDescent="0.3">
      <c r="B82" s="42">
        <v>44287</v>
      </c>
      <c r="C82" s="82">
        <f>(0.2*'AMPE-MCVE'!C81)+(0.8*'AMPE-MCVE'!D81)</f>
        <v>33.396052186277636</v>
      </c>
      <c r="D82" s="37">
        <f t="shared" si="1"/>
        <v>0.51965735323800999</v>
      </c>
    </row>
    <row r="83" spans="2:4" ht="15.5" x14ac:dyDescent="0.3">
      <c r="B83" s="41">
        <v>44317</v>
      </c>
      <c r="C83" s="83">
        <f>(0.2*'AMPE-MCVE'!C82)+(0.8*'AMPE-MCVE'!D82)</f>
        <v>33.528315721847541</v>
      </c>
      <c r="D83" s="34">
        <f t="shared" si="1"/>
        <v>0.13226353556990489</v>
      </c>
    </row>
    <row r="84" spans="2:4" ht="15.5" x14ac:dyDescent="0.3">
      <c r="B84" s="42">
        <v>44348</v>
      </c>
      <c r="C84" s="82">
        <f>(0.2*'AMPE-MCVE'!C83)+(0.8*'AMPE-MCVE'!D83)</f>
        <v>33.389072224759403</v>
      </c>
      <c r="D84" s="37">
        <f t="shared" si="1"/>
        <v>-0.13924349708813821</v>
      </c>
    </row>
    <row r="85" spans="2:4" ht="15.5" x14ac:dyDescent="0.3">
      <c r="B85" s="41">
        <v>44378</v>
      </c>
      <c r="C85" s="83">
        <f>(0.2*'AMPE-MCVE'!C84)+(0.8*'AMPE-MCVE'!D84)</f>
        <v>33.059415895826255</v>
      </c>
      <c r="D85" s="34">
        <f t="shared" ref="D85:D86" si="2">C85-C84</f>
        <v>-0.32965632893314734</v>
      </c>
    </row>
    <row r="86" spans="2:4" ht="15.5" x14ac:dyDescent="0.3">
      <c r="B86" s="42">
        <v>44409</v>
      </c>
      <c r="C86" s="82">
        <f>(0.2*'AMPE-MCVE'!C85)+(0.8*'AMPE-MCVE'!D85)</f>
        <v>33.183974331896216</v>
      </c>
      <c r="D86" s="37">
        <f t="shared" si="2"/>
        <v>0.12455843606996098</v>
      </c>
    </row>
    <row r="87" spans="2:4" ht="15.5" x14ac:dyDescent="0.3">
      <c r="B87" s="41">
        <v>44440</v>
      </c>
      <c r="C87" s="83">
        <f>(0.2*'AMPE-MCVE'!C86)+(0.8*'AMPE-MCVE'!D86)</f>
        <v>34.312764793332754</v>
      </c>
      <c r="D87" s="34">
        <f t="shared" ref="D87:D88" si="3">C87-C86</f>
        <v>1.1287904614365374</v>
      </c>
    </row>
    <row r="88" spans="2:4" ht="15.5" x14ac:dyDescent="0.3">
      <c r="B88" s="42">
        <v>44470</v>
      </c>
      <c r="C88" s="82">
        <f>(0.2*'AMPE-MCVE'!C87)+(0.8*'AMPE-MCVE'!D87)</f>
        <v>36.561886292521386</v>
      </c>
      <c r="D88" s="37">
        <f t="shared" si="3"/>
        <v>2.2491214991886324</v>
      </c>
    </row>
    <row r="89" spans="2:4" ht="15.5" x14ac:dyDescent="0.3">
      <c r="B89" s="41">
        <v>44501</v>
      </c>
      <c r="C89" s="83">
        <f>(0.2*'AMPE-MCVE'!C88)+(0.8*'AMPE-MCVE'!D88)</f>
        <v>39.831340610770567</v>
      </c>
      <c r="D89" s="34">
        <f t="shared" ref="D89:D90" si="4">C89-C88</f>
        <v>3.2694543182491813</v>
      </c>
    </row>
    <row r="90" spans="2:4" ht="15.5" x14ac:dyDescent="0.3">
      <c r="B90" s="42">
        <v>44531</v>
      </c>
      <c r="C90" s="82">
        <f>(0.2*'AMPE-MCVE'!C89)+(0.8*'AMPE-MCVE'!D89)</f>
        <v>41.727454314998589</v>
      </c>
      <c r="D90" s="37">
        <f t="shared" si="4"/>
        <v>1.8961137042280214</v>
      </c>
    </row>
    <row r="91" spans="2:4" ht="15.5" x14ac:dyDescent="0.3">
      <c r="B91" s="41">
        <v>44562</v>
      </c>
      <c r="C91" s="83">
        <f>(0.2*'AMPE-MCVE'!C90)+(0.8*'AMPE-MCVE'!D90)</f>
        <v>43.960245217731497</v>
      </c>
      <c r="D91" s="34">
        <f t="shared" ref="D91:D92" si="5">C91-C90</f>
        <v>2.2327909027329085</v>
      </c>
    </row>
    <row r="92" spans="2:4" ht="15.5" x14ac:dyDescent="0.3">
      <c r="B92" s="42">
        <v>44593</v>
      </c>
      <c r="C92" s="82">
        <f>(0.2*'AMPE-MCVE'!C91)+(0.8*'AMPE-MCVE'!D91)</f>
        <v>46.421837104537794</v>
      </c>
      <c r="D92" s="37">
        <f t="shared" si="5"/>
        <v>2.4615918868062963</v>
      </c>
    </row>
    <row r="93" spans="2:4" ht="15.5" x14ac:dyDescent="0.3">
      <c r="B93" s="41">
        <v>44621</v>
      </c>
      <c r="C93" s="83">
        <f>(0.2*'AMPE-MCVE'!C92)+(0.8*'AMPE-MCVE'!D92)</f>
        <v>50.853702394709387</v>
      </c>
      <c r="D93" s="34">
        <f t="shared" ref="D93:D94" si="6">C93-C92</f>
        <v>4.4318652901715936</v>
      </c>
    </row>
    <row r="94" spans="2:4" ht="15.5" x14ac:dyDescent="0.3">
      <c r="B94" s="42">
        <v>44652</v>
      </c>
      <c r="C94" s="82">
        <f>(0.2*'AMPE-MCVE'!C93)+(0.8*'AMPE-MCVE'!D93)</f>
        <v>52.84639797685886</v>
      </c>
      <c r="D94" s="37">
        <f t="shared" si="6"/>
        <v>1.992695582149473</v>
      </c>
    </row>
    <row r="95" spans="2:4" ht="15.5" x14ac:dyDescent="0.3">
      <c r="B95" s="41">
        <v>44682</v>
      </c>
      <c r="C95" s="83">
        <f>(0.2*'AMPE-MCVE'!C94)+(0.8*'AMPE-MCVE'!D94)</f>
        <v>53.534513896285738</v>
      </c>
      <c r="D95" s="34">
        <f t="shared" ref="D95:D96" si="7">C95-C94</f>
        <v>0.68811591942687755</v>
      </c>
    </row>
    <row r="96" spans="2:4" ht="15.5" x14ac:dyDescent="0.3">
      <c r="B96" s="42">
        <v>44713</v>
      </c>
      <c r="C96" s="82">
        <f>(0.2*'AMPE-MCVE'!C95)+(0.8*'AMPE-MCVE'!D95)</f>
        <v>54.561490760262572</v>
      </c>
      <c r="D96" s="37">
        <f t="shared" si="7"/>
        <v>1.0269768639768344</v>
      </c>
    </row>
    <row r="97" spans="2:4" ht="15.5" x14ac:dyDescent="0.3">
      <c r="B97" s="41">
        <v>44743</v>
      </c>
      <c r="C97" s="83">
        <f>(0.2*'AMPE-MCVE'!C96)+(0.8*'AMPE-MCVE'!D96)</f>
        <v>53.353909058812761</v>
      </c>
      <c r="D97" s="34">
        <f t="shared" ref="D97:D98" si="8">C97-C96</f>
        <v>-1.2075817014498114</v>
      </c>
    </row>
    <row r="98" spans="2:4" ht="15.5" x14ac:dyDescent="0.3">
      <c r="B98" s="42">
        <v>44774</v>
      </c>
      <c r="C98" s="82">
        <f>(0.2*'AMPE-MCVE'!C97)+(0.8*'AMPE-MCVE'!D97)</f>
        <v>51.910331491496237</v>
      </c>
      <c r="D98" s="37">
        <f t="shared" si="8"/>
        <v>-1.4435775673165239</v>
      </c>
    </row>
    <row r="99" spans="2:4" ht="15.5" x14ac:dyDescent="0.3">
      <c r="B99" s="41">
        <v>44805</v>
      </c>
      <c r="C99" s="83">
        <f>(0.2*'AMPE-MCVE'!C98)+(0.8*'AMPE-MCVE'!D98)</f>
        <v>53.76184384319258</v>
      </c>
      <c r="D99" s="34">
        <f t="shared" ref="D99:D100" si="9">C99-C98</f>
        <v>1.8515123516963428</v>
      </c>
    </row>
    <row r="100" spans="2:4" ht="15.5" x14ac:dyDescent="0.3">
      <c r="B100" s="42">
        <v>44835</v>
      </c>
      <c r="C100" s="82">
        <f>(0.2*'AMPE-MCVE'!C99)+(0.8*'AMPE-MCVE'!D99)</f>
        <v>53.416328851564096</v>
      </c>
      <c r="D100" s="37">
        <f t="shared" si="9"/>
        <v>-0.34551499162848387</v>
      </c>
    </row>
    <row r="101" spans="2:4" ht="15.5" x14ac:dyDescent="0.3">
      <c r="B101" s="41">
        <v>44866</v>
      </c>
      <c r="C101" s="83">
        <f>(0.2*'AMPE-MCVE'!C100)+(0.8*'AMPE-MCVE'!D100)</f>
        <v>50.773135548861134</v>
      </c>
      <c r="D101" s="34">
        <f t="shared" ref="D101:D102" si="10">C101-C100</f>
        <v>-2.6431933027029615</v>
      </c>
    </row>
    <row r="102" spans="2:4" ht="15.5" x14ac:dyDescent="0.3">
      <c r="B102" s="42">
        <v>44896</v>
      </c>
      <c r="C102" s="82">
        <f>(0.2*'AMPE-MCVE'!C101)+(0.8*'AMPE-MCVE'!D101)</f>
        <v>46.204476202736473</v>
      </c>
      <c r="D102" s="37">
        <f t="shared" si="10"/>
        <v>-4.5686593461246616</v>
      </c>
    </row>
    <row r="103" spans="2:4" ht="15.5" x14ac:dyDescent="0.3">
      <c r="B103" s="41">
        <v>44927</v>
      </c>
      <c r="C103" s="83">
        <f>(0.2*'AMPE-MCVE'!C102)+(0.8*'AMPE-MCVE'!D102)</f>
        <v>42.581196321458904</v>
      </c>
      <c r="D103" s="34">
        <f>C103-C102</f>
        <v>-3.6232798812775684</v>
      </c>
    </row>
    <row r="104" spans="2:4" ht="15.5" x14ac:dyDescent="0.3">
      <c r="B104" s="42">
        <v>44958</v>
      </c>
      <c r="C104" s="82">
        <f>(0.2*'AMPE-MCVE'!C103)+(0.8*'AMPE-MCVE'!D103)</f>
        <v>37.298572427693131</v>
      </c>
      <c r="D104" s="37">
        <f t="shared" ref="D104" si="11">C104-C103</f>
        <v>-5.2826238937657735</v>
      </c>
    </row>
    <row r="105" spans="2:4" ht="15.5" x14ac:dyDescent="0.3">
      <c r="B105" s="41">
        <v>44986</v>
      </c>
      <c r="C105" s="83">
        <f>(0.2*'AMPE-MCVE'!C104)+(0.8*'AMPE-MCVE'!D104)</f>
        <v>37.375911444501924</v>
      </c>
      <c r="D105" s="34">
        <f>C105-C104</f>
        <v>7.7339016808792849E-2</v>
      </c>
    </row>
    <row r="106" spans="2:4" ht="15.5" x14ac:dyDescent="0.3">
      <c r="B106" s="42">
        <v>45017</v>
      </c>
      <c r="C106" s="82">
        <f>(0.2*'AMPE-MCVE'!C105)+(0.8*'AMPE-MCVE'!D105)</f>
        <v>35.499269168682375</v>
      </c>
      <c r="D106" s="37">
        <f t="shared" ref="D106" si="12">C106-C105</f>
        <v>-1.8766422758195489</v>
      </c>
    </row>
    <row r="107" spans="2:4" ht="15.5" x14ac:dyDescent="0.3">
      <c r="B107" s="41">
        <v>45047</v>
      </c>
      <c r="C107" s="83">
        <f>(0.2*'AMPE-MCVE'!C106)+(0.8*'AMPE-MCVE'!D106)</f>
        <v>35.402103847938385</v>
      </c>
      <c r="D107" s="34">
        <f t="shared" ref="D107:D108" si="13">C107-C106</f>
        <v>-9.716532074398998E-2</v>
      </c>
    </row>
    <row r="108" spans="2:4" ht="15.5" x14ac:dyDescent="0.3">
      <c r="B108" s="42">
        <v>45078</v>
      </c>
      <c r="C108" s="82">
        <f>(0.2*'AMPE-MCVE'!C107)+(0.8*'AMPE-MCVE'!D107)</f>
        <v>35.584304536242875</v>
      </c>
      <c r="D108" s="37">
        <f t="shared" si="13"/>
        <v>0.18220068830449065</v>
      </c>
    </row>
    <row r="109" spans="2:4" ht="15.5" x14ac:dyDescent="0.3">
      <c r="B109" s="41">
        <v>45108</v>
      </c>
      <c r="C109" s="83">
        <f>(0.2*'AMPE-MCVE'!C108)+(0.8*'AMPE-MCVE'!D108)</f>
        <v>33.615188094895785</v>
      </c>
      <c r="D109" s="34">
        <f t="shared" ref="D109:D110" si="14">C109-C108</f>
        <v>-1.9691164413470901</v>
      </c>
    </row>
    <row r="110" spans="2:4" ht="15.5" x14ac:dyDescent="0.3">
      <c r="B110" s="42">
        <v>45139</v>
      </c>
      <c r="C110" s="82">
        <f>(0.2*'AMPE-MCVE'!C109)+(0.8*'AMPE-MCVE'!D109)</f>
        <v>32.03931248995022</v>
      </c>
      <c r="D110" s="37">
        <f t="shared" si="14"/>
        <v>-1.5758756049455656</v>
      </c>
    </row>
    <row r="111" spans="2:4" ht="15.5" x14ac:dyDescent="0.3">
      <c r="B111" s="41">
        <v>45170</v>
      </c>
      <c r="C111" s="83">
        <f>(0.2*'AMPE-MCVE'!C110)+(0.8*'AMPE-MCVE'!D110)</f>
        <v>31.496373712768879</v>
      </c>
      <c r="D111" s="34">
        <f>C111-C110</f>
        <v>-0.54293877718134098</v>
      </c>
    </row>
    <row r="112" spans="2:4" ht="15.5" x14ac:dyDescent="0.3">
      <c r="B112" s="42">
        <v>45200</v>
      </c>
      <c r="C112" s="82">
        <f>(0.2*'AMPE-MCVE'!C111)+(0.8*'AMPE-MCVE'!D111)</f>
        <v>33.530844264738526</v>
      </c>
      <c r="D112" s="37">
        <f t="shared" ref="D112" si="15">C112-C111</f>
        <v>2.0344705519696475</v>
      </c>
    </row>
    <row r="113" spans="2:4" ht="15.5" x14ac:dyDescent="0.3">
      <c r="B113" s="41">
        <v>45231</v>
      </c>
      <c r="C113" s="83">
        <f>(0.2*'AMPE-MCVE'!C112)+(0.8*'AMPE-MCVE'!D112)</f>
        <v>35.667034429797496</v>
      </c>
      <c r="D113" s="34">
        <f>C113-C112</f>
        <v>2.1361901650589701</v>
      </c>
    </row>
    <row r="114" spans="2:4" ht="15.5" x14ac:dyDescent="0.3">
      <c r="B114" s="42">
        <v>45261</v>
      </c>
      <c r="C114" s="82">
        <f>(0.2*'AMPE-MCVE'!C113)+(0.8*'AMPE-MCVE'!D113)</f>
        <v>36.81980592945645</v>
      </c>
      <c r="D114" s="37">
        <f t="shared" ref="D114" si="16">C114-C113</f>
        <v>1.1527714996589538</v>
      </c>
    </row>
    <row r="115" spans="2:4" ht="15.5" x14ac:dyDescent="0.3">
      <c r="B115" s="41">
        <v>45292</v>
      </c>
      <c r="C115" s="83">
        <f>(0.2*'AMPE-MCVE'!C114)+(0.8*'AMPE-MCVE'!D114)</f>
        <v>37.579870023570415</v>
      </c>
      <c r="D115" s="34">
        <f>C115-C114</f>
        <v>0.76006409411396447</v>
      </c>
    </row>
    <row r="116" spans="2:4" ht="15.5" x14ac:dyDescent="0.3">
      <c r="B116" s="42">
        <v>45323</v>
      </c>
      <c r="C116" s="82">
        <f>(0.2*'AMPE-MCVE'!C115)+(0.8*'AMPE-MCVE'!D115)</f>
        <v>36.973413347534304</v>
      </c>
      <c r="D116" s="37">
        <f t="shared" ref="D116" si="17">C116-C115</f>
        <v>-0.60645667603611031</v>
      </c>
    </row>
    <row r="117" spans="2:4" ht="15.5" x14ac:dyDescent="0.3">
      <c r="B117" s="41">
        <v>45352</v>
      </c>
      <c r="C117" s="83">
        <f>(0.2*'AMPE-MCVE'!C116)+(0.8*'AMPE-MCVE'!D116)</f>
        <v>36.349464285446331</v>
      </c>
      <c r="D117" s="34">
        <f t="shared" ref="D117:D123" si="18">C117-C116</f>
        <v>-0.62394906208797352</v>
      </c>
    </row>
    <row r="118" spans="2:4" ht="15.5" x14ac:dyDescent="0.3">
      <c r="B118" s="42">
        <v>45383</v>
      </c>
      <c r="C118" s="82">
        <f>(0.2*'AMPE-MCVE'!C117)+(0.8*'AMPE-MCVE'!D117)</f>
        <v>35.682998771983478</v>
      </c>
      <c r="D118" s="37">
        <f t="shared" si="18"/>
        <v>-0.66646551346285321</v>
      </c>
    </row>
    <row r="119" spans="2:4" ht="15.5" x14ac:dyDescent="0.3">
      <c r="B119" s="41">
        <v>45413</v>
      </c>
      <c r="C119" s="83">
        <f>(0.2*'AMPE-MCVE'!C118)+(0.8*'AMPE-MCVE'!D118)</f>
        <v>36.538642873957642</v>
      </c>
      <c r="D119" s="34">
        <f t="shared" si="18"/>
        <v>0.85564410197416407</v>
      </c>
    </row>
    <row r="120" spans="2:4" ht="15.5" x14ac:dyDescent="0.3">
      <c r="B120" s="42">
        <v>45444</v>
      </c>
      <c r="C120" s="82">
        <f>(0.2*'AMPE-MCVE'!C119)+(0.8*'AMPE-MCVE'!D119)</f>
        <v>38.65149442735521</v>
      </c>
      <c r="D120" s="37">
        <f t="shared" si="18"/>
        <v>2.1128515533975687</v>
      </c>
    </row>
    <row r="121" spans="2:4" ht="15.5" x14ac:dyDescent="0.3">
      <c r="B121" s="41">
        <v>45474</v>
      </c>
      <c r="C121" s="83">
        <f>(0.2*'AMPE-MCVE'!C120)+(0.8*'AMPE-MCVE'!D120)</f>
        <v>39.819190301524969</v>
      </c>
      <c r="D121" s="34">
        <f t="shared" si="18"/>
        <v>1.167695874169759</v>
      </c>
    </row>
    <row r="122" spans="2:4" ht="15.5" x14ac:dyDescent="0.3">
      <c r="B122" s="42">
        <v>45505</v>
      </c>
      <c r="C122" s="82">
        <f>(0.2*'AMPE-MCVE'!C121)+(0.8*'AMPE-MCVE'!D121)</f>
        <v>41.294244057346077</v>
      </c>
      <c r="D122" s="37">
        <f t="shared" si="18"/>
        <v>1.4750537558211079</v>
      </c>
    </row>
    <row r="123" spans="2:4" ht="15.5" x14ac:dyDescent="0.3">
      <c r="B123" s="41">
        <v>45536</v>
      </c>
      <c r="C123" s="83">
        <f>(0.2*'AMPE-MCVE'!C122)+(0.8*'AMPE-MCVE'!D122)</f>
        <v>45.356957418464162</v>
      </c>
      <c r="D123" s="34">
        <f t="shared" si="18"/>
        <v>4.0627133611180852</v>
      </c>
    </row>
    <row r="124" spans="2:4" ht="15.5" x14ac:dyDescent="0.3">
      <c r="B124" s="42">
        <v>45566</v>
      </c>
      <c r="C124" s="82">
        <f>(0.2*'AMPE-MCVE'!C123)+(0.8*'AMPE-MCVE'!D123)</f>
        <v>46.372220150190351</v>
      </c>
      <c r="D124" s="37">
        <f t="shared" ref="D124:D125" si="19">C124-C123</f>
        <v>1.0152627317261889</v>
      </c>
    </row>
    <row r="125" spans="2:4" ht="15.5" x14ac:dyDescent="0.3">
      <c r="B125" s="41">
        <v>45597</v>
      </c>
      <c r="C125" s="83">
        <f>(0.2*'AMPE-MCVE'!C124)+(0.8*'AMPE-MCVE'!D124)</f>
        <v>45.636705149179356</v>
      </c>
      <c r="D125" s="34">
        <f t="shared" si="19"/>
        <v>-0.73551500101099521</v>
      </c>
    </row>
    <row r="126" spans="2:4" ht="15.5" x14ac:dyDescent="0.3">
      <c r="B126" s="42">
        <v>45627</v>
      </c>
      <c r="C126" s="82">
        <f>(0.2*'AMPE-MCVE'!C125)+(0.8*'AMPE-MCVE'!D125)</f>
        <v>44.598179230359861</v>
      </c>
      <c r="D126" s="37">
        <f t="shared" ref="D126:D127" si="20">C126-C125</f>
        <v>-1.0385259188194951</v>
      </c>
    </row>
    <row r="127" spans="2:4" ht="15.5" x14ac:dyDescent="0.3">
      <c r="B127" s="41">
        <v>45658</v>
      </c>
      <c r="C127" s="83">
        <f>(0.2*'AMPE-MCVE'!C126)+(0.8*'AMPE-MCVE'!D126)</f>
        <v>43.622271595384149</v>
      </c>
      <c r="D127" s="34">
        <f t="shared" si="20"/>
        <v>-0.97590763497571231</v>
      </c>
    </row>
    <row r="128" spans="2:4" ht="15.5" x14ac:dyDescent="0.3">
      <c r="B128" s="42">
        <v>45689</v>
      </c>
      <c r="C128" s="82">
        <f>(0.2*'AMPE-MCVE'!C127)+(0.8*'AMPE-MCVE'!D127)</f>
        <v>42.995937119176588</v>
      </c>
      <c r="D128" s="37">
        <f t="shared" ref="D128:D129" si="21">C128-C127</f>
        <v>-0.62633447620756044</v>
      </c>
    </row>
    <row r="129" spans="2:4" ht="15.5" x14ac:dyDescent="0.3">
      <c r="B129" s="41">
        <v>45717</v>
      </c>
      <c r="C129" s="83">
        <f>(0.2*'AMPE-MCVE'!C128)+(0.8*'AMPE-MCVE'!D128)</f>
        <v>43.779145115428918</v>
      </c>
      <c r="D129" s="34">
        <f t="shared" si="21"/>
        <v>0.78320799625232951</v>
      </c>
    </row>
  </sheetData>
  <mergeCells count="1">
    <mergeCell ref="C8:D8"/>
  </mergeCells>
  <pageMargins left="0.7" right="0.7" top="0.75" bottom="0.75" header="0.3" footer="0.3"/>
  <pageSetup paperSize="9" orientation="portrait" horizontalDpi="300" verticalDpi="300" r:id="rId1"/>
  <ignoredErrors>
    <ignoredError sqref="D53:D56"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S334"/>
  <sheetViews>
    <sheetView showGridLines="0" zoomScaleNormal="100" zoomScaleSheetLayoutView="143" zoomScalePageLayoutView="123" workbookViewId="0">
      <pane xSplit="2" ySplit="8" topLeftCell="C115" activePane="bottomRight" state="frozen"/>
      <selection activeCell="B107" sqref="B107"/>
      <selection pane="topRight" activeCell="B107" sqref="B107"/>
      <selection pane="bottomLeft" activeCell="B107" sqref="B107"/>
      <selection pane="bottomRight" activeCell="H135" sqref="H135"/>
    </sheetView>
  </sheetViews>
  <sheetFormatPr defaultColWidth="11.3984375" defaultRowHeight="15.5" x14ac:dyDescent="0.3"/>
  <cols>
    <col min="1" max="1" width="8.69921875" style="16" customWidth="1"/>
    <col min="2" max="4" width="11.69921875" style="17" customWidth="1"/>
    <col min="5" max="5" width="4.69921875" style="17" customWidth="1"/>
    <col min="6" max="11" width="11.69921875" style="17" customWidth="1"/>
    <col min="12" max="12" width="8.59765625" style="17" customWidth="1"/>
    <col min="13" max="18" width="11.69921875" style="17" customWidth="1"/>
    <col min="19" max="16384" width="11.3984375" style="17"/>
  </cols>
  <sheetData>
    <row r="1" spans="1:45" s="4" customFormat="1" ht="27" customHeight="1" x14ac:dyDescent="0.35"/>
    <row r="2" spans="1:45" s="6" customFormat="1" ht="21" customHeight="1" x14ac:dyDescent="0.4">
      <c r="A2" s="26" t="s">
        <v>0</v>
      </c>
      <c r="B2" s="26"/>
      <c r="C2" s="26"/>
      <c r="D2" s="26"/>
      <c r="E2" s="26"/>
      <c r="F2" s="26"/>
      <c r="G2" s="26"/>
      <c r="H2" s="26"/>
      <c r="I2" s="26"/>
      <c r="J2" s="26"/>
      <c r="K2" s="26"/>
      <c r="L2" s="26"/>
      <c r="M2" s="26"/>
      <c r="N2" s="26"/>
      <c r="O2" s="26"/>
      <c r="P2" s="26"/>
      <c r="Q2" s="26"/>
      <c r="R2" s="5"/>
      <c r="S2" s="5"/>
      <c r="T2" s="5"/>
      <c r="U2" s="5"/>
      <c r="V2" s="5"/>
      <c r="W2" s="5"/>
      <c r="X2" s="5"/>
      <c r="Y2" s="5"/>
      <c r="Z2" s="5"/>
      <c r="AA2" s="5"/>
      <c r="AB2" s="5"/>
      <c r="AC2" s="5"/>
      <c r="AD2" s="5"/>
      <c r="AE2" s="5"/>
      <c r="AF2" s="5"/>
      <c r="AG2" s="5"/>
      <c r="AH2" s="5"/>
      <c r="AI2" s="5"/>
      <c r="AJ2" s="5"/>
      <c r="AK2" s="5"/>
      <c r="AL2" s="5"/>
      <c r="AM2" s="5"/>
      <c r="AN2" s="5"/>
      <c r="AO2" s="5"/>
      <c r="AP2" s="5"/>
      <c r="AQ2" s="5"/>
      <c r="AR2" s="5"/>
      <c r="AS2" s="5"/>
    </row>
    <row r="3" spans="1:45" s="10" customFormat="1" ht="12.75" customHeight="1" x14ac:dyDescent="0.3">
      <c r="A3" s="7" t="s">
        <v>22</v>
      </c>
      <c r="B3" s="7"/>
      <c r="C3" s="7"/>
      <c r="D3" s="7"/>
      <c r="E3" s="7"/>
      <c r="F3" s="7"/>
      <c r="G3" s="7"/>
      <c r="H3" s="7"/>
      <c r="I3" s="7"/>
      <c r="J3" s="7"/>
      <c r="K3" s="7"/>
      <c r="L3" s="7"/>
      <c r="M3" s="8"/>
      <c r="N3" s="9"/>
      <c r="O3" s="9"/>
      <c r="P3" s="9"/>
      <c r="Q3" s="9"/>
      <c r="R3" s="9"/>
      <c r="S3" s="9"/>
      <c r="T3" s="8"/>
      <c r="U3" s="8"/>
      <c r="V3" s="8"/>
      <c r="W3" s="8"/>
      <c r="X3" s="8"/>
      <c r="Y3" s="8"/>
      <c r="Z3" s="8"/>
      <c r="AA3" s="8"/>
      <c r="AB3" s="8"/>
      <c r="AC3" s="8"/>
      <c r="AD3" s="8"/>
      <c r="AE3" s="8"/>
      <c r="AF3" s="8"/>
      <c r="AG3" s="8"/>
      <c r="AH3" s="8"/>
      <c r="AI3" s="8"/>
      <c r="AJ3" s="8"/>
      <c r="AK3" s="8"/>
      <c r="AL3" s="8"/>
      <c r="AM3" s="8"/>
      <c r="AN3" s="8"/>
      <c r="AO3" s="8"/>
      <c r="AP3" s="8"/>
      <c r="AQ3" s="8"/>
      <c r="AR3" s="8"/>
      <c r="AS3" s="8"/>
    </row>
    <row r="4" spans="1:45" s="13" customFormat="1" ht="15" customHeight="1" x14ac:dyDescent="0.35">
      <c r="A4" s="11" t="s">
        <v>27</v>
      </c>
      <c r="B4" s="11"/>
      <c r="C4" s="11"/>
      <c r="D4" s="11"/>
      <c r="E4" s="11"/>
      <c r="F4" s="11"/>
      <c r="G4" s="11"/>
      <c r="H4" s="11"/>
      <c r="I4" s="11"/>
      <c r="J4" s="11"/>
      <c r="K4" s="11"/>
      <c r="L4" s="11"/>
      <c r="M4" s="12"/>
      <c r="N4" s="9"/>
      <c r="O4" s="9"/>
      <c r="P4" s="9"/>
      <c r="Q4" s="9"/>
      <c r="R4" s="9"/>
      <c r="S4" s="9"/>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row>
    <row r="5" spans="1:45" s="15" customFormat="1" ht="13.5" customHeight="1" x14ac:dyDescent="0.35">
      <c r="A5" s="7" t="s">
        <v>63</v>
      </c>
      <c r="B5" s="7"/>
      <c r="C5" s="7"/>
      <c r="D5" s="7"/>
      <c r="E5" s="7"/>
      <c r="F5" s="7"/>
      <c r="G5" s="7"/>
      <c r="H5" s="7"/>
      <c r="I5" s="7"/>
      <c r="J5" s="7"/>
      <c r="K5" s="7"/>
      <c r="L5" s="7"/>
      <c r="M5" s="14"/>
      <c r="N5" s="9"/>
      <c r="O5" s="9"/>
      <c r="P5" s="9"/>
      <c r="Q5" s="9"/>
      <c r="R5" s="9"/>
      <c r="S5" s="9"/>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row>
    <row r="6" spans="1:45" x14ac:dyDescent="0.3">
      <c r="A6" s="16" t="s">
        <v>35</v>
      </c>
      <c r="B6" s="16"/>
      <c r="C6" s="16"/>
      <c r="D6" s="16"/>
      <c r="E6" s="16"/>
      <c r="F6" s="96" t="s">
        <v>25</v>
      </c>
      <c r="G6" s="97"/>
      <c r="H6" s="97"/>
      <c r="I6" s="97"/>
      <c r="J6" s="97"/>
      <c r="K6" s="97"/>
      <c r="L6" s="16"/>
      <c r="M6" s="98" t="s">
        <v>26</v>
      </c>
      <c r="N6" s="99"/>
      <c r="O6" s="99"/>
      <c r="P6" s="99"/>
      <c r="Q6" s="99"/>
      <c r="R6" s="99"/>
      <c r="S6" s="9"/>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row>
    <row r="7" spans="1:45" ht="46.5" x14ac:dyDescent="0.3">
      <c r="B7" s="18"/>
      <c r="C7" s="71" t="s">
        <v>45</v>
      </c>
      <c r="D7" s="72" t="s">
        <v>46</v>
      </c>
      <c r="E7" s="16"/>
      <c r="F7" s="19" t="s">
        <v>2</v>
      </c>
      <c r="G7" s="19" t="s">
        <v>3</v>
      </c>
      <c r="H7" s="19" t="s">
        <v>30</v>
      </c>
      <c r="I7" s="19" t="s">
        <v>4</v>
      </c>
      <c r="J7" s="19" t="s">
        <v>5</v>
      </c>
      <c r="K7" s="33" t="s">
        <v>3</v>
      </c>
      <c r="M7" s="20" t="s">
        <v>7</v>
      </c>
      <c r="N7" s="20" t="s">
        <v>9</v>
      </c>
      <c r="O7" s="20" t="s">
        <v>8</v>
      </c>
      <c r="P7" s="20" t="s">
        <v>7</v>
      </c>
      <c r="Q7" s="20" t="s">
        <v>9</v>
      </c>
      <c r="R7" s="20" t="s">
        <v>8</v>
      </c>
      <c r="S7" s="16"/>
      <c r="T7" s="16"/>
      <c r="U7" s="16"/>
      <c r="V7" s="16"/>
      <c r="W7" s="16"/>
      <c r="X7" s="16"/>
      <c r="Y7" s="16"/>
      <c r="Z7" s="16"/>
      <c r="AA7" s="16"/>
      <c r="AB7" s="16"/>
      <c r="AC7" s="16"/>
      <c r="AD7" s="16"/>
      <c r="AE7" s="16"/>
      <c r="AF7" s="16"/>
      <c r="AG7" s="16"/>
      <c r="AH7" s="16"/>
      <c r="AI7" s="16"/>
      <c r="AJ7" s="16"/>
      <c r="AK7" s="16"/>
      <c r="AL7" s="16"/>
      <c r="AM7" s="16"/>
      <c r="AN7" s="16"/>
      <c r="AO7" s="16"/>
      <c r="AP7" s="16"/>
      <c r="AQ7" s="16"/>
      <c r="AR7" s="16"/>
    </row>
    <row r="8" spans="1:45" x14ac:dyDescent="0.3">
      <c r="B8" s="18"/>
      <c r="C8" s="100" t="s">
        <v>1</v>
      </c>
      <c r="D8" s="101"/>
      <c r="E8" s="16"/>
      <c r="F8" s="21" t="s">
        <v>6</v>
      </c>
      <c r="G8" s="21" t="s">
        <v>6</v>
      </c>
      <c r="H8" s="21" t="s">
        <v>6</v>
      </c>
      <c r="I8" s="21" t="s">
        <v>1</v>
      </c>
      <c r="J8" s="21" t="s">
        <v>1</v>
      </c>
      <c r="K8" s="21" t="s">
        <v>1</v>
      </c>
      <c r="L8" s="16"/>
      <c r="M8" s="21" t="s">
        <v>6</v>
      </c>
      <c r="N8" s="21" t="s">
        <v>6</v>
      </c>
      <c r="O8" s="21" t="s">
        <v>6</v>
      </c>
      <c r="P8" s="21" t="s">
        <v>1</v>
      </c>
      <c r="Q8" s="21" t="s">
        <v>1</v>
      </c>
      <c r="R8" s="21" t="s">
        <v>1</v>
      </c>
      <c r="S8" s="16"/>
      <c r="T8" s="16"/>
      <c r="U8" s="16"/>
      <c r="V8" s="16"/>
      <c r="W8" s="16"/>
      <c r="X8" s="16"/>
      <c r="Y8" s="16"/>
      <c r="Z8" s="16"/>
      <c r="AA8" s="16"/>
      <c r="AB8" s="16"/>
      <c r="AC8" s="16"/>
      <c r="AD8" s="16"/>
      <c r="AE8" s="16"/>
      <c r="AF8" s="16"/>
      <c r="AG8" s="16"/>
      <c r="AH8" s="16"/>
      <c r="AI8" s="16"/>
      <c r="AJ8" s="16"/>
      <c r="AK8" s="16"/>
      <c r="AL8" s="16"/>
      <c r="AM8" s="16"/>
      <c r="AN8" s="16"/>
      <c r="AO8" s="16"/>
      <c r="AP8" s="16"/>
      <c r="AQ8" s="16"/>
      <c r="AR8" s="16"/>
    </row>
    <row r="9" spans="1:45" x14ac:dyDescent="0.3">
      <c r="B9" s="42">
        <v>42095</v>
      </c>
      <c r="C9" s="37">
        <f>I9+J9+K9</f>
        <v>20.440046640791905</v>
      </c>
      <c r="D9" s="37">
        <f>P9+Q9+R9</f>
        <v>24.970627084613938</v>
      </c>
      <c r="E9" s="35"/>
      <c r="F9" s="38">
        <v>2300</v>
      </c>
      <c r="G9" s="38">
        <v>1425</v>
      </c>
      <c r="H9" s="38">
        <v>451</v>
      </c>
      <c r="I9" s="37">
        <f t="shared" ref="I9:I70" si="0">(F9-244)*100/19900</f>
        <v>10.331658291457286</v>
      </c>
      <c r="J9" s="37">
        <f t="shared" ref="J9:J70" si="1">((G9-103)-365)*100/203600</f>
        <v>0.47003929273084477</v>
      </c>
      <c r="K9" s="37">
        <f t="shared" ref="K9:K70" si="2">(G9-365-H9*8.5%)*100/10600</f>
        <v>9.6383490566037739</v>
      </c>
      <c r="L9" s="35"/>
      <c r="M9" s="38">
        <v>2350</v>
      </c>
      <c r="N9" s="38">
        <v>661.01199999999994</v>
      </c>
      <c r="O9" s="38">
        <v>2000</v>
      </c>
      <c r="P9" s="37">
        <f t="shared" ref="P9:P70" si="3">(M9-330)*100/9100</f>
        <v>22.197802197802197</v>
      </c>
      <c r="Q9" s="37">
        <f t="shared" ref="Q9:Q70" si="4">(N9-341)*100/16700</f>
        <v>1.9162395209580834</v>
      </c>
      <c r="R9" s="37">
        <f t="shared" ref="R9:R70" si="5">(O9-244)*100/205000</f>
        <v>0.85658536585365852</v>
      </c>
      <c r="S9" s="16"/>
      <c r="T9" s="16"/>
      <c r="U9" s="16"/>
      <c r="V9" s="16"/>
      <c r="W9" s="16"/>
      <c r="X9" s="16"/>
      <c r="Y9" s="16"/>
      <c r="Z9" s="16"/>
      <c r="AA9" s="16"/>
      <c r="AB9" s="16"/>
      <c r="AC9" s="16"/>
      <c r="AD9" s="16"/>
      <c r="AE9" s="16"/>
      <c r="AF9" s="16"/>
      <c r="AG9" s="16"/>
      <c r="AH9" s="16"/>
      <c r="AI9" s="16"/>
      <c r="AJ9" s="16"/>
      <c r="AK9" s="16"/>
      <c r="AL9" s="16"/>
      <c r="AM9" s="16"/>
      <c r="AN9" s="16"/>
      <c r="AO9" s="16"/>
      <c r="AP9" s="16"/>
      <c r="AQ9" s="16"/>
      <c r="AR9" s="16"/>
    </row>
    <row r="10" spans="1:45" x14ac:dyDescent="0.3">
      <c r="B10" s="41">
        <v>42125</v>
      </c>
      <c r="C10" s="34">
        <f>I10+J10+K10</f>
        <v>18.704992071694054</v>
      </c>
      <c r="D10" s="34">
        <f>P10+Q10+R10</f>
        <v>24.798809646319796</v>
      </c>
      <c r="E10" s="35"/>
      <c r="F10" s="36">
        <v>2150</v>
      </c>
      <c r="G10" s="36">
        <v>1325</v>
      </c>
      <c r="H10" s="36">
        <v>437</v>
      </c>
      <c r="I10" s="34">
        <f t="shared" si="0"/>
        <v>9.5778894472361813</v>
      </c>
      <c r="J10" s="34">
        <f t="shared" si="1"/>
        <v>0.42092337917485267</v>
      </c>
      <c r="K10" s="34">
        <f t="shared" si="2"/>
        <v>8.7061792452830193</v>
      </c>
      <c r="L10" s="35"/>
      <c r="M10" s="36">
        <v>2350</v>
      </c>
      <c r="N10" s="36">
        <v>644.53800000000001</v>
      </c>
      <c r="O10" s="36">
        <v>1850</v>
      </c>
      <c r="P10" s="34">
        <f t="shared" si="3"/>
        <v>22.197802197802197</v>
      </c>
      <c r="Q10" s="34">
        <f t="shared" si="4"/>
        <v>1.8175928143712576</v>
      </c>
      <c r="R10" s="34">
        <f t="shared" si="5"/>
        <v>0.78341463414634149</v>
      </c>
      <c r="S10" s="16"/>
      <c r="T10" s="16"/>
      <c r="U10" s="16"/>
      <c r="V10" s="16"/>
      <c r="W10" s="16"/>
      <c r="X10" s="16"/>
      <c r="Y10" s="16"/>
      <c r="Z10" s="16"/>
      <c r="AA10" s="16"/>
      <c r="AB10" s="16"/>
      <c r="AC10" s="16"/>
      <c r="AD10" s="16"/>
      <c r="AE10" s="16"/>
      <c r="AF10" s="16"/>
      <c r="AG10" s="16"/>
      <c r="AH10" s="16"/>
      <c r="AI10" s="16"/>
      <c r="AJ10" s="16"/>
      <c r="AK10" s="16"/>
      <c r="AL10" s="16"/>
      <c r="AM10" s="16"/>
      <c r="AN10" s="16"/>
      <c r="AO10" s="16"/>
      <c r="AP10" s="16"/>
      <c r="AQ10" s="16"/>
      <c r="AR10" s="16"/>
    </row>
    <row r="11" spans="1:45" x14ac:dyDescent="0.3">
      <c r="B11" s="42">
        <v>42156</v>
      </c>
      <c r="C11" s="37">
        <f t="shared" ref="C11:C70" si="6">I11+J11+K11</f>
        <v>18.231990718689641</v>
      </c>
      <c r="D11" s="37">
        <f t="shared" ref="D11:D70" si="7">P11+Q11+R11</f>
        <v>24.355695873864708</v>
      </c>
      <c r="E11" s="35"/>
      <c r="F11" s="38">
        <v>2150</v>
      </c>
      <c r="G11" s="38">
        <v>1275</v>
      </c>
      <c r="H11" s="38">
        <v>408</v>
      </c>
      <c r="I11" s="37">
        <f t="shared" si="0"/>
        <v>9.5778894472361813</v>
      </c>
      <c r="J11" s="37">
        <f t="shared" si="1"/>
        <v>0.39636542239685657</v>
      </c>
      <c r="K11" s="37">
        <f t="shared" si="2"/>
        <v>8.2577358490566031</v>
      </c>
      <c r="L11" s="35"/>
      <c r="M11" s="38">
        <v>2350</v>
      </c>
      <c r="N11" s="38">
        <v>570.53800000000001</v>
      </c>
      <c r="O11" s="38">
        <v>1850</v>
      </c>
      <c r="P11" s="37">
        <f t="shared" si="3"/>
        <v>22.197802197802197</v>
      </c>
      <c r="Q11" s="37">
        <f t="shared" si="4"/>
        <v>1.3744790419161679</v>
      </c>
      <c r="R11" s="37">
        <f t="shared" si="5"/>
        <v>0.78341463414634149</v>
      </c>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row>
    <row r="12" spans="1:45" x14ac:dyDescent="0.3">
      <c r="B12" s="41">
        <v>42186</v>
      </c>
      <c r="C12" s="34">
        <f t="shared" si="6"/>
        <v>17.254071142493803</v>
      </c>
      <c r="D12" s="34">
        <f t="shared" si="7"/>
        <v>23.002257525955859</v>
      </c>
      <c r="E12" s="35"/>
      <c r="F12" s="36">
        <v>2050</v>
      </c>
      <c r="G12" s="36">
        <v>1225</v>
      </c>
      <c r="H12" s="36">
        <v>382</v>
      </c>
      <c r="I12" s="34">
        <f t="shared" si="0"/>
        <v>9.075376884422111</v>
      </c>
      <c r="J12" s="34">
        <f t="shared" si="1"/>
        <v>0.37180746561886052</v>
      </c>
      <c r="K12" s="34">
        <f t="shared" si="2"/>
        <v>7.80688679245283</v>
      </c>
      <c r="L12" s="35"/>
      <c r="M12" s="36">
        <v>2275</v>
      </c>
      <c r="N12" s="36">
        <v>490.29750000000001</v>
      </c>
      <c r="O12" s="36">
        <v>1750</v>
      </c>
      <c r="P12" s="34">
        <f t="shared" si="3"/>
        <v>21.373626373626372</v>
      </c>
      <c r="Q12" s="34">
        <f t="shared" si="4"/>
        <v>0.89399700598802401</v>
      </c>
      <c r="R12" s="34">
        <f t="shared" si="5"/>
        <v>0.7346341463414634</v>
      </c>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row>
    <row r="13" spans="1:45" x14ac:dyDescent="0.3">
      <c r="B13" s="42">
        <v>42217</v>
      </c>
      <c r="C13" s="37">
        <f t="shared" si="6"/>
        <v>16.013668869796586</v>
      </c>
      <c r="D13" s="37">
        <f t="shared" si="7"/>
        <v>20.491496572494249</v>
      </c>
      <c r="E13" s="35"/>
      <c r="F13" s="38">
        <v>1900</v>
      </c>
      <c r="G13" s="38">
        <v>1175</v>
      </c>
      <c r="H13" s="38">
        <v>370</v>
      </c>
      <c r="I13" s="37">
        <f t="shared" si="0"/>
        <v>8.3216080402010046</v>
      </c>
      <c r="J13" s="37">
        <f t="shared" si="1"/>
        <v>0.34724950884086442</v>
      </c>
      <c r="K13" s="37">
        <f t="shared" si="2"/>
        <v>7.344811320754717</v>
      </c>
      <c r="L13" s="35"/>
      <c r="M13" s="38">
        <v>2075</v>
      </c>
      <c r="N13" s="38">
        <v>450.25290000000001</v>
      </c>
      <c r="O13" s="38">
        <v>1600</v>
      </c>
      <c r="P13" s="37">
        <f t="shared" si="3"/>
        <v>19.175824175824175</v>
      </c>
      <c r="Q13" s="37">
        <f t="shared" si="4"/>
        <v>0.65420898203592814</v>
      </c>
      <c r="R13" s="37">
        <f t="shared" si="5"/>
        <v>0.66146341463414637</v>
      </c>
      <c r="S13" s="16"/>
      <c r="T13" s="16"/>
      <c r="U13" s="16"/>
      <c r="V13" s="16"/>
      <c r="W13" s="16"/>
      <c r="X13" s="16"/>
      <c r="Y13" s="16"/>
      <c r="Z13" s="16"/>
      <c r="AA13" s="16"/>
      <c r="AB13" s="16"/>
      <c r="AC13" s="16"/>
      <c r="AD13" s="16"/>
      <c r="AE13" s="16"/>
      <c r="AF13" s="16"/>
      <c r="AG13" s="16"/>
      <c r="AH13" s="16"/>
      <c r="AI13" s="16"/>
      <c r="AJ13" s="16"/>
      <c r="AK13" s="16"/>
      <c r="AL13" s="16"/>
      <c r="AM13" s="16"/>
      <c r="AN13" s="16"/>
      <c r="AO13" s="16"/>
      <c r="AP13" s="16"/>
      <c r="AQ13" s="16"/>
      <c r="AR13" s="16"/>
    </row>
    <row r="14" spans="1:45" x14ac:dyDescent="0.3">
      <c r="B14" s="41">
        <v>42248</v>
      </c>
      <c r="C14" s="34">
        <f t="shared" si="6"/>
        <v>17.508614271826197</v>
      </c>
      <c r="D14" s="34">
        <f t="shared" si="7"/>
        <v>20.658754729351266</v>
      </c>
      <c r="E14" s="35"/>
      <c r="F14" s="36">
        <v>2050</v>
      </c>
      <c r="G14" s="36">
        <v>1250</v>
      </c>
      <c r="H14" s="36">
        <v>374</v>
      </c>
      <c r="I14" s="34">
        <f t="shared" si="0"/>
        <v>9.075376884422111</v>
      </c>
      <c r="J14" s="34">
        <f t="shared" si="1"/>
        <v>0.38408644400785852</v>
      </c>
      <c r="K14" s="34">
        <f t="shared" si="2"/>
        <v>8.0491509433962261</v>
      </c>
      <c r="L14" s="35"/>
      <c r="M14" s="36">
        <v>2075</v>
      </c>
      <c r="N14" s="36">
        <v>465.96550000000002</v>
      </c>
      <c r="O14" s="36">
        <v>1750</v>
      </c>
      <c r="P14" s="34">
        <f t="shared" si="3"/>
        <v>19.175824175824175</v>
      </c>
      <c r="Q14" s="34">
        <f t="shared" si="4"/>
        <v>0.74829640718562895</v>
      </c>
      <c r="R14" s="34">
        <f t="shared" si="5"/>
        <v>0.7346341463414634</v>
      </c>
      <c r="S14" s="16"/>
      <c r="T14" s="16"/>
      <c r="U14" s="16"/>
      <c r="V14" s="16"/>
      <c r="W14" s="16"/>
      <c r="X14" s="16"/>
      <c r="Y14" s="16"/>
      <c r="Z14" s="16"/>
      <c r="AA14" s="16"/>
      <c r="AB14" s="16"/>
      <c r="AC14" s="16"/>
      <c r="AD14" s="16"/>
      <c r="AE14" s="16"/>
      <c r="AF14" s="16"/>
      <c r="AG14" s="16"/>
      <c r="AH14" s="16"/>
      <c r="AI14" s="16"/>
      <c r="AJ14" s="16"/>
      <c r="AK14" s="16"/>
      <c r="AL14" s="16"/>
      <c r="AM14" s="16"/>
      <c r="AN14" s="16"/>
      <c r="AO14" s="16"/>
      <c r="AP14" s="16"/>
      <c r="AQ14" s="16"/>
      <c r="AR14" s="16"/>
    </row>
    <row r="15" spans="1:45" x14ac:dyDescent="0.3">
      <c r="B15" s="42">
        <v>42278</v>
      </c>
      <c r="C15" s="37">
        <f t="shared" si="6"/>
        <v>18.511392338588074</v>
      </c>
      <c r="D15" s="37">
        <f t="shared" si="7"/>
        <v>21.055161689486212</v>
      </c>
      <c r="E15" s="35"/>
      <c r="F15" s="38">
        <v>2150</v>
      </c>
      <c r="G15" s="38">
        <v>1300</v>
      </c>
      <c r="H15" s="38">
        <v>369</v>
      </c>
      <c r="I15" s="37">
        <f t="shared" si="0"/>
        <v>9.5778894472361813</v>
      </c>
      <c r="J15" s="37">
        <f t="shared" si="1"/>
        <v>0.40864440078585462</v>
      </c>
      <c r="K15" s="37">
        <f t="shared" si="2"/>
        <v>8.5248584905660376</v>
      </c>
      <c r="L15" s="35"/>
      <c r="M15" s="38">
        <v>2100</v>
      </c>
      <c r="N15" s="38">
        <v>478.14000000000004</v>
      </c>
      <c r="O15" s="38">
        <v>1850</v>
      </c>
      <c r="P15" s="37">
        <f t="shared" si="3"/>
        <v>19.450549450549449</v>
      </c>
      <c r="Q15" s="37">
        <f t="shared" si="4"/>
        <v>0.82119760479041937</v>
      </c>
      <c r="R15" s="37">
        <f t="shared" si="5"/>
        <v>0.78341463414634149</v>
      </c>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row>
    <row r="16" spans="1:45" x14ac:dyDescent="0.3">
      <c r="B16" s="41">
        <v>42309</v>
      </c>
      <c r="C16" s="34">
        <f t="shared" si="6"/>
        <v>16.766715127980788</v>
      </c>
      <c r="D16" s="34">
        <f t="shared" si="7"/>
        <v>19.399300512296232</v>
      </c>
      <c r="E16" s="35"/>
      <c r="F16" s="36">
        <v>2000</v>
      </c>
      <c r="G16" s="36">
        <v>1200</v>
      </c>
      <c r="H16" s="36">
        <v>367</v>
      </c>
      <c r="I16" s="34">
        <f t="shared" si="0"/>
        <v>8.8241206030150749</v>
      </c>
      <c r="J16" s="34">
        <f t="shared" si="1"/>
        <v>0.35952848722986247</v>
      </c>
      <c r="K16" s="34">
        <f t="shared" si="2"/>
        <v>7.5830660377358488</v>
      </c>
      <c r="L16" s="35"/>
      <c r="M16" s="36">
        <v>1975</v>
      </c>
      <c r="N16" s="36">
        <v>443.22629999999998</v>
      </c>
      <c r="O16" s="36">
        <v>1700</v>
      </c>
      <c r="P16" s="34">
        <f t="shared" si="3"/>
        <v>18.076923076923077</v>
      </c>
      <c r="Q16" s="34">
        <f t="shared" si="4"/>
        <v>0.61213353293413153</v>
      </c>
      <c r="R16" s="34">
        <f t="shared" si="5"/>
        <v>0.71024390243902435</v>
      </c>
      <c r="S16" s="16"/>
      <c r="T16" s="16"/>
      <c r="U16" s="16"/>
      <c r="V16" s="16"/>
      <c r="W16" s="16"/>
      <c r="X16" s="16"/>
      <c r="Y16" s="16"/>
      <c r="Z16" s="16"/>
      <c r="AA16" s="16"/>
      <c r="AB16" s="16"/>
      <c r="AC16" s="16"/>
      <c r="AD16" s="16"/>
      <c r="AE16" s="16"/>
      <c r="AF16" s="16"/>
      <c r="AG16" s="16"/>
      <c r="AH16" s="16"/>
      <c r="AI16" s="16"/>
      <c r="AJ16" s="16"/>
      <c r="AK16" s="16"/>
      <c r="AL16" s="16"/>
      <c r="AM16" s="16"/>
      <c r="AN16" s="16"/>
      <c r="AO16" s="16"/>
      <c r="AP16" s="16"/>
      <c r="AQ16" s="16"/>
      <c r="AR16" s="16"/>
    </row>
    <row r="17" spans="2:44" x14ac:dyDescent="0.3">
      <c r="B17" s="42">
        <v>42339</v>
      </c>
      <c r="C17" s="37">
        <f t="shared" si="6"/>
        <v>16.505756904308768</v>
      </c>
      <c r="D17" s="37">
        <f t="shared" si="7"/>
        <v>19.290729853613598</v>
      </c>
      <c r="E17" s="35"/>
      <c r="F17" s="38">
        <v>2000</v>
      </c>
      <c r="G17" s="38">
        <v>1175</v>
      </c>
      <c r="H17" s="38">
        <v>383</v>
      </c>
      <c r="I17" s="37">
        <f t="shared" si="0"/>
        <v>8.8241206030150749</v>
      </c>
      <c r="J17" s="37">
        <f t="shared" si="1"/>
        <v>0.34724950884086442</v>
      </c>
      <c r="K17" s="37">
        <f t="shared" si="2"/>
        <v>7.3343867924528299</v>
      </c>
      <c r="L17" s="35"/>
      <c r="M17" s="38">
        <v>1975</v>
      </c>
      <c r="N17" s="38">
        <v>425.09500000000003</v>
      </c>
      <c r="O17" s="38">
        <v>1700</v>
      </c>
      <c r="P17" s="37">
        <f t="shared" si="3"/>
        <v>18.076923076923077</v>
      </c>
      <c r="Q17" s="37">
        <f t="shared" si="4"/>
        <v>0.50356287425149726</v>
      </c>
      <c r="R17" s="37">
        <f t="shared" si="5"/>
        <v>0.71024390243902435</v>
      </c>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row>
    <row r="18" spans="2:44" x14ac:dyDescent="0.3">
      <c r="B18" s="41">
        <v>42370</v>
      </c>
      <c r="C18" s="34">
        <f t="shared" si="6"/>
        <v>16.600913346899077</v>
      </c>
      <c r="D18" s="34">
        <f t="shared" si="7"/>
        <v>18.04199920074084</v>
      </c>
      <c r="E18" s="35"/>
      <c r="F18" s="36">
        <v>2025</v>
      </c>
      <c r="G18" s="36">
        <v>1175</v>
      </c>
      <c r="H18" s="36">
        <v>421</v>
      </c>
      <c r="I18" s="34">
        <f t="shared" si="0"/>
        <v>8.9497487437185921</v>
      </c>
      <c r="J18" s="34">
        <f t="shared" si="1"/>
        <v>0.34724950884086442</v>
      </c>
      <c r="K18" s="34">
        <f t="shared" si="2"/>
        <v>7.3039150943396223</v>
      </c>
      <c r="L18" s="35"/>
      <c r="M18" s="36">
        <v>1850</v>
      </c>
      <c r="N18" s="36">
        <v>443.916</v>
      </c>
      <c r="O18" s="36">
        <v>1725</v>
      </c>
      <c r="P18" s="34">
        <f t="shared" si="3"/>
        <v>16.703296703296704</v>
      </c>
      <c r="Q18" s="34">
        <f t="shared" si="4"/>
        <v>0.61626347305389229</v>
      </c>
      <c r="R18" s="34">
        <f t="shared" si="5"/>
        <v>0.72243902439024388</v>
      </c>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row>
    <row r="19" spans="2:44" x14ac:dyDescent="0.3">
      <c r="B19" s="42">
        <v>42401</v>
      </c>
      <c r="C19" s="37">
        <f t="shared" si="6"/>
        <v>16.455317337139789</v>
      </c>
      <c r="D19" s="37">
        <f t="shared" si="7"/>
        <v>17.725121494293642</v>
      </c>
      <c r="E19" s="35"/>
      <c r="F19" s="38">
        <v>1950</v>
      </c>
      <c r="G19" s="38">
        <v>1200</v>
      </c>
      <c r="H19" s="38">
        <v>442</v>
      </c>
      <c r="I19" s="37">
        <f t="shared" si="0"/>
        <v>8.5728643216080407</v>
      </c>
      <c r="J19" s="37">
        <f t="shared" si="1"/>
        <v>0.35952848722986247</v>
      </c>
      <c r="K19" s="37">
        <f t="shared" si="2"/>
        <v>7.5229245283018864</v>
      </c>
      <c r="L19" s="35"/>
      <c r="M19" s="38">
        <v>1825</v>
      </c>
      <c r="N19" s="38">
        <v>442.98630000000003</v>
      </c>
      <c r="O19" s="38">
        <v>1650</v>
      </c>
      <c r="P19" s="37">
        <f t="shared" si="3"/>
        <v>16.428571428571427</v>
      </c>
      <c r="Q19" s="37">
        <f t="shared" si="4"/>
        <v>0.6106964071856289</v>
      </c>
      <c r="R19" s="37">
        <f t="shared" si="5"/>
        <v>0.68585365853658542</v>
      </c>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row>
    <row r="20" spans="2:44" x14ac:dyDescent="0.3">
      <c r="B20" s="41">
        <v>42430</v>
      </c>
      <c r="C20" s="34">
        <f t="shared" si="6"/>
        <v>15.935965151684211</v>
      </c>
      <c r="D20" s="34">
        <f t="shared" si="7"/>
        <v>16.502734518366111</v>
      </c>
      <c r="E20" s="35"/>
      <c r="F20" s="36">
        <v>1850</v>
      </c>
      <c r="G20" s="36">
        <v>1200</v>
      </c>
      <c r="H20" s="36">
        <v>463</v>
      </c>
      <c r="I20" s="34">
        <f t="shared" si="0"/>
        <v>8.0703517587939704</v>
      </c>
      <c r="J20" s="34">
        <f t="shared" si="1"/>
        <v>0.35952848722986247</v>
      </c>
      <c r="K20" s="34">
        <f t="shared" si="2"/>
        <v>7.5060849056603773</v>
      </c>
      <c r="L20" s="35"/>
      <c r="M20" s="36">
        <v>1725</v>
      </c>
      <c r="N20" s="36">
        <v>430.51049999999998</v>
      </c>
      <c r="O20" s="36">
        <v>1550</v>
      </c>
      <c r="P20" s="34">
        <f t="shared" si="3"/>
        <v>15.32967032967033</v>
      </c>
      <c r="Q20" s="34">
        <f t="shared" si="4"/>
        <v>0.53599101796407167</v>
      </c>
      <c r="R20" s="34">
        <f t="shared" si="5"/>
        <v>0.63707317073170733</v>
      </c>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row>
    <row r="21" spans="2:44" x14ac:dyDescent="0.3">
      <c r="B21" s="42">
        <v>42461</v>
      </c>
      <c r="C21" s="37">
        <f t="shared" si="6"/>
        <v>15.920729302627606</v>
      </c>
      <c r="D21" s="37">
        <f t="shared" si="7"/>
        <v>15.979168843167058</v>
      </c>
      <c r="E21" s="35"/>
      <c r="F21" s="38">
        <v>1850</v>
      </c>
      <c r="G21" s="38">
        <v>1200</v>
      </c>
      <c r="H21" s="38">
        <v>482</v>
      </c>
      <c r="I21" s="37">
        <f t="shared" si="0"/>
        <v>8.0703517587939704</v>
      </c>
      <c r="J21" s="37">
        <f t="shared" si="1"/>
        <v>0.35952848722986247</v>
      </c>
      <c r="K21" s="37">
        <f t="shared" si="2"/>
        <v>7.490849056603774</v>
      </c>
      <c r="L21" s="35"/>
      <c r="M21" s="38">
        <v>1675</v>
      </c>
      <c r="N21" s="38">
        <v>434.83327400000002</v>
      </c>
      <c r="O21" s="38">
        <v>1550</v>
      </c>
      <c r="P21" s="37">
        <f t="shared" si="3"/>
        <v>14.780219780219781</v>
      </c>
      <c r="Q21" s="37">
        <f t="shared" si="4"/>
        <v>0.56187589221556899</v>
      </c>
      <c r="R21" s="37">
        <f t="shared" si="5"/>
        <v>0.63707317073170733</v>
      </c>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row>
    <row r="22" spans="2:44" x14ac:dyDescent="0.3">
      <c r="B22" s="41">
        <v>42491</v>
      </c>
      <c r="C22" s="34">
        <f t="shared" si="6"/>
        <v>17.285155942443431</v>
      </c>
      <c r="D22" s="34">
        <f t="shared" si="7"/>
        <v>16.847587257528364</v>
      </c>
      <c r="E22" s="35"/>
      <c r="F22" s="36">
        <v>2025</v>
      </c>
      <c r="G22" s="36">
        <v>1250</v>
      </c>
      <c r="H22" s="36">
        <v>496</v>
      </c>
      <c r="I22" s="34">
        <f t="shared" si="0"/>
        <v>8.9497487437185921</v>
      </c>
      <c r="J22" s="34">
        <f t="shared" si="1"/>
        <v>0.38408644400785852</v>
      </c>
      <c r="K22" s="34">
        <f t="shared" si="2"/>
        <v>7.9513207547169813</v>
      </c>
      <c r="L22" s="35"/>
      <c r="M22" s="36">
        <v>1750</v>
      </c>
      <c r="N22" s="36">
        <v>427.96568900000005</v>
      </c>
      <c r="O22" s="36">
        <v>1725</v>
      </c>
      <c r="P22" s="34">
        <f t="shared" si="3"/>
        <v>15.604395604395604</v>
      </c>
      <c r="Q22" s="34">
        <f t="shared" si="4"/>
        <v>0.52075262874251527</v>
      </c>
      <c r="R22" s="34">
        <f t="shared" si="5"/>
        <v>0.72243902439024388</v>
      </c>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row>
    <row r="23" spans="2:44" x14ac:dyDescent="0.3">
      <c r="B23" s="42">
        <v>42522</v>
      </c>
      <c r="C23" s="37">
        <f t="shared" si="6"/>
        <v>19.398540105725651</v>
      </c>
      <c r="D23" s="37">
        <f t="shared" si="7"/>
        <v>19.997987685955348</v>
      </c>
      <c r="E23" s="35"/>
      <c r="F23" s="38">
        <v>2350</v>
      </c>
      <c r="G23" s="38">
        <v>1300</v>
      </c>
      <c r="H23" s="38">
        <v>516</v>
      </c>
      <c r="I23" s="37">
        <f t="shared" si="0"/>
        <v>10.582914572864322</v>
      </c>
      <c r="J23" s="37">
        <f t="shared" si="1"/>
        <v>0.40864440078585462</v>
      </c>
      <c r="K23" s="37">
        <f t="shared" si="2"/>
        <v>8.4069811320754724</v>
      </c>
      <c r="L23" s="35"/>
      <c r="M23" s="38">
        <v>2000</v>
      </c>
      <c r="N23" s="38">
        <v>468.815742</v>
      </c>
      <c r="O23" s="38">
        <v>2050</v>
      </c>
      <c r="P23" s="37">
        <f t="shared" si="3"/>
        <v>18.35164835164835</v>
      </c>
      <c r="Q23" s="37">
        <f t="shared" si="4"/>
        <v>0.76536372455089818</v>
      </c>
      <c r="R23" s="37">
        <f t="shared" si="5"/>
        <v>0.88097560975609757</v>
      </c>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row>
    <row r="24" spans="2:44" x14ac:dyDescent="0.3">
      <c r="B24" s="41">
        <v>42552</v>
      </c>
      <c r="C24" s="34">
        <f t="shared" si="6"/>
        <v>23.843202671436288</v>
      </c>
      <c r="D24" s="34">
        <f t="shared" si="7"/>
        <v>24.00736802048543</v>
      </c>
      <c r="E24" s="35"/>
      <c r="F24" s="36">
        <v>2850</v>
      </c>
      <c r="G24" s="36">
        <v>1500</v>
      </c>
      <c r="H24" s="36">
        <v>582</v>
      </c>
      <c r="I24" s="34">
        <f t="shared" si="0"/>
        <v>13.095477386934673</v>
      </c>
      <c r="J24" s="34">
        <f t="shared" si="1"/>
        <v>0.50687622789783893</v>
      </c>
      <c r="K24" s="34">
        <f t="shared" si="2"/>
        <v>10.240849056603773</v>
      </c>
      <c r="L24" s="35"/>
      <c r="M24" s="36">
        <v>2300</v>
      </c>
      <c r="N24" s="36">
        <v>547.10110000000009</v>
      </c>
      <c r="O24" s="36">
        <v>2550</v>
      </c>
      <c r="P24" s="34">
        <f t="shared" si="3"/>
        <v>21.64835164835165</v>
      </c>
      <c r="Q24" s="34">
        <f t="shared" si="4"/>
        <v>1.2341383233532939</v>
      </c>
      <c r="R24" s="34">
        <f t="shared" si="5"/>
        <v>1.1248780487804879</v>
      </c>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row>
    <row r="25" spans="2:44" x14ac:dyDescent="0.3">
      <c r="B25" s="42">
        <v>42583</v>
      </c>
      <c r="C25" s="37">
        <f t="shared" si="6"/>
        <v>26.521549156521381</v>
      </c>
      <c r="D25" s="37">
        <f t="shared" si="7"/>
        <v>28.584441823846809</v>
      </c>
      <c r="E25" s="35"/>
      <c r="F25" s="38">
        <v>3250</v>
      </c>
      <c r="G25" s="38">
        <v>1570</v>
      </c>
      <c r="H25" s="38">
        <v>615</v>
      </c>
      <c r="I25" s="37">
        <f t="shared" si="0"/>
        <v>15.105527638190955</v>
      </c>
      <c r="J25" s="37">
        <f t="shared" si="1"/>
        <v>0.54125736738703345</v>
      </c>
      <c r="K25" s="37">
        <f t="shared" si="2"/>
        <v>10.874764150943395</v>
      </c>
      <c r="L25" s="35"/>
      <c r="M25" s="38">
        <v>2650</v>
      </c>
      <c r="N25" s="38">
        <v>636.57936700000005</v>
      </c>
      <c r="O25" s="38">
        <v>2950</v>
      </c>
      <c r="P25" s="37">
        <f t="shared" si="3"/>
        <v>25.494505494505493</v>
      </c>
      <c r="Q25" s="37">
        <f t="shared" si="4"/>
        <v>1.7699363293413177</v>
      </c>
      <c r="R25" s="37">
        <f t="shared" si="5"/>
        <v>1.32</v>
      </c>
      <c r="S25" s="16"/>
      <c r="T25" s="16"/>
      <c r="U25" s="16"/>
      <c r="V25" s="16"/>
      <c r="W25" s="16"/>
      <c r="X25" s="16"/>
      <c r="Y25" s="16"/>
      <c r="Z25" s="16"/>
      <c r="AA25" s="16"/>
      <c r="AB25" s="16"/>
      <c r="AC25" s="16"/>
      <c r="AD25" s="16"/>
      <c r="AE25" s="16"/>
      <c r="AF25" s="16"/>
      <c r="AG25" s="16"/>
      <c r="AH25" s="16"/>
      <c r="AI25" s="16"/>
      <c r="AJ25" s="16"/>
      <c r="AK25" s="16"/>
      <c r="AL25" s="16"/>
      <c r="AM25" s="16"/>
      <c r="AN25" s="16"/>
      <c r="AO25" s="16"/>
      <c r="AP25" s="16"/>
      <c r="AQ25" s="16"/>
      <c r="AR25" s="16"/>
    </row>
    <row r="26" spans="2:44" x14ac:dyDescent="0.3">
      <c r="B26" s="41">
        <v>42614</v>
      </c>
      <c r="C26" s="34">
        <f t="shared" si="6"/>
        <v>28.987919739651666</v>
      </c>
      <c r="D26" s="34">
        <f t="shared" si="7"/>
        <v>33.062379104199003</v>
      </c>
      <c r="E26" s="35"/>
      <c r="F26" s="36">
        <v>3550</v>
      </c>
      <c r="G26" s="36">
        <v>1670</v>
      </c>
      <c r="H26" s="36">
        <v>657</v>
      </c>
      <c r="I26" s="34">
        <f t="shared" si="0"/>
        <v>16.613065326633166</v>
      </c>
      <c r="J26" s="34">
        <f t="shared" si="1"/>
        <v>0.59037328094302555</v>
      </c>
      <c r="K26" s="34">
        <f t="shared" si="2"/>
        <v>11.784481132075472</v>
      </c>
      <c r="L26" s="35"/>
      <c r="M26" s="36">
        <v>2975</v>
      </c>
      <c r="N26" s="36">
        <v>763.52729699999998</v>
      </c>
      <c r="O26" s="36">
        <v>3250</v>
      </c>
      <c r="P26" s="34">
        <f t="shared" si="3"/>
        <v>29.065934065934066</v>
      </c>
      <c r="Q26" s="34">
        <f t="shared" si="4"/>
        <v>2.5301035748502994</v>
      </c>
      <c r="R26" s="34">
        <f t="shared" si="5"/>
        <v>1.4663414634146341</v>
      </c>
      <c r="S26" s="16"/>
      <c r="T26" s="16"/>
      <c r="U26" s="16"/>
      <c r="V26" s="16"/>
      <c r="W26" s="16"/>
      <c r="X26" s="16"/>
      <c r="Y26" s="16"/>
      <c r="Z26" s="16"/>
      <c r="AA26" s="16"/>
      <c r="AB26" s="16"/>
      <c r="AC26" s="16"/>
      <c r="AD26" s="16"/>
      <c r="AE26" s="16"/>
      <c r="AF26" s="16"/>
      <c r="AG26" s="16"/>
      <c r="AH26" s="16"/>
      <c r="AI26" s="16"/>
      <c r="AJ26" s="16"/>
      <c r="AK26" s="16"/>
      <c r="AL26" s="16"/>
      <c r="AM26" s="16"/>
      <c r="AN26" s="16"/>
      <c r="AO26" s="16"/>
      <c r="AP26" s="16"/>
      <c r="AQ26" s="16"/>
      <c r="AR26" s="16"/>
    </row>
    <row r="27" spans="2:44" x14ac:dyDescent="0.3">
      <c r="B27" s="42">
        <v>42644</v>
      </c>
      <c r="C27" s="37">
        <f t="shared" si="6"/>
        <v>31.815368874621093</v>
      </c>
      <c r="D27" s="37">
        <f t="shared" si="7"/>
        <v>34.644322249513301</v>
      </c>
      <c r="E27" s="35"/>
      <c r="F27" s="38">
        <v>3750</v>
      </c>
      <c r="G27" s="38">
        <v>1860</v>
      </c>
      <c r="H27" s="38">
        <v>736</v>
      </c>
      <c r="I27" s="37">
        <f t="shared" si="0"/>
        <v>17.618090452261306</v>
      </c>
      <c r="J27" s="37">
        <f t="shared" si="1"/>
        <v>0.68369351669941059</v>
      </c>
      <c r="K27" s="37">
        <f t="shared" si="2"/>
        <v>13.513584905660377</v>
      </c>
      <c r="L27" s="35"/>
      <c r="M27" s="38">
        <v>3070</v>
      </c>
      <c r="N27" s="38">
        <v>837.07845999999995</v>
      </c>
      <c r="O27" s="38">
        <v>3450</v>
      </c>
      <c r="P27" s="37">
        <f t="shared" si="3"/>
        <v>30.109890109890109</v>
      </c>
      <c r="Q27" s="37">
        <f t="shared" si="4"/>
        <v>2.9705297005988021</v>
      </c>
      <c r="R27" s="37">
        <f t="shared" si="5"/>
        <v>1.5639024390243903</v>
      </c>
      <c r="S27" s="16"/>
      <c r="T27" s="16"/>
      <c r="U27" s="16"/>
      <c r="V27" s="16"/>
      <c r="W27" s="16"/>
      <c r="X27" s="16"/>
      <c r="Y27" s="16"/>
      <c r="Z27" s="16"/>
      <c r="AA27" s="16"/>
      <c r="AB27" s="16"/>
      <c r="AC27" s="16"/>
      <c r="AD27" s="16"/>
      <c r="AE27" s="16"/>
      <c r="AF27" s="16"/>
      <c r="AG27" s="16"/>
      <c r="AH27" s="16"/>
      <c r="AI27" s="16"/>
      <c r="AJ27" s="16"/>
      <c r="AK27" s="16"/>
      <c r="AL27" s="16"/>
      <c r="AM27" s="16"/>
      <c r="AN27" s="16"/>
      <c r="AO27" s="16"/>
      <c r="AP27" s="16"/>
      <c r="AQ27" s="16"/>
      <c r="AR27" s="16"/>
    </row>
    <row r="28" spans="2:44" x14ac:dyDescent="0.3">
      <c r="B28" s="41">
        <v>42675</v>
      </c>
      <c r="C28" s="34">
        <f t="shared" si="6"/>
        <v>31.958553187314038</v>
      </c>
      <c r="D28" s="34">
        <f t="shared" si="7"/>
        <v>34.377706914683095</v>
      </c>
      <c r="E28" s="35"/>
      <c r="F28" s="36">
        <v>3800</v>
      </c>
      <c r="G28" s="36">
        <v>1850</v>
      </c>
      <c r="H28" s="36">
        <v>747</v>
      </c>
      <c r="I28" s="34">
        <f t="shared" si="0"/>
        <v>17.86934673366834</v>
      </c>
      <c r="J28" s="34">
        <f t="shared" si="1"/>
        <v>0.67878192534381143</v>
      </c>
      <c r="K28" s="34">
        <f t="shared" si="2"/>
        <v>13.410424528301887</v>
      </c>
      <c r="L28" s="35"/>
      <c r="M28" s="36">
        <v>3080</v>
      </c>
      <c r="N28" s="36">
        <v>770.12887999999998</v>
      </c>
      <c r="O28" s="36">
        <v>3500</v>
      </c>
      <c r="P28" s="34">
        <f t="shared" si="3"/>
        <v>30.219780219780219</v>
      </c>
      <c r="Q28" s="34">
        <f t="shared" si="4"/>
        <v>2.5696340119760479</v>
      </c>
      <c r="R28" s="34">
        <f t="shared" si="5"/>
        <v>1.5882926829268293</v>
      </c>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row>
    <row r="29" spans="2:44" x14ac:dyDescent="0.3">
      <c r="B29" s="42">
        <v>42705</v>
      </c>
      <c r="C29" s="37">
        <f t="shared" si="6"/>
        <v>31.445616096198087</v>
      </c>
      <c r="D29" s="37">
        <f t="shared" si="7"/>
        <v>34.227069025680613</v>
      </c>
      <c r="E29" s="35"/>
      <c r="F29" s="38">
        <v>3700</v>
      </c>
      <c r="G29" s="38">
        <v>1850</v>
      </c>
      <c r="H29" s="38">
        <v>760</v>
      </c>
      <c r="I29" s="37">
        <f t="shared" si="0"/>
        <v>17.366834170854272</v>
      </c>
      <c r="J29" s="37">
        <f t="shared" si="1"/>
        <v>0.67878192534381143</v>
      </c>
      <c r="K29" s="37">
        <f t="shared" si="2"/>
        <v>13.4</v>
      </c>
      <c r="L29" s="35"/>
      <c r="M29" s="38">
        <v>3080</v>
      </c>
      <c r="N29" s="38">
        <v>753.118694</v>
      </c>
      <c r="O29" s="38">
        <v>3400</v>
      </c>
      <c r="P29" s="37">
        <f t="shared" si="3"/>
        <v>30.219780219780219</v>
      </c>
      <c r="Q29" s="37">
        <f t="shared" si="4"/>
        <v>2.4677766107784431</v>
      </c>
      <c r="R29" s="37">
        <f t="shared" si="5"/>
        <v>1.5395121951219513</v>
      </c>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row>
    <row r="30" spans="2:44" x14ac:dyDescent="0.3">
      <c r="B30" s="41">
        <v>42736</v>
      </c>
      <c r="C30" s="34">
        <f t="shared" si="6"/>
        <v>30.923056363572691</v>
      </c>
      <c r="D30" s="34">
        <f t="shared" si="7"/>
        <v>34.402440783384719</v>
      </c>
      <c r="E30" s="35"/>
      <c r="F30" s="36">
        <v>3600</v>
      </c>
      <c r="G30" s="36">
        <v>1850</v>
      </c>
      <c r="H30" s="36">
        <v>785</v>
      </c>
      <c r="I30" s="34">
        <f t="shared" si="0"/>
        <v>16.8643216080402</v>
      </c>
      <c r="J30" s="34">
        <f t="shared" si="1"/>
        <v>0.67878192534381143</v>
      </c>
      <c r="K30" s="34">
        <f t="shared" si="2"/>
        <v>13.37995283018868</v>
      </c>
      <c r="L30" s="35"/>
      <c r="M30" s="36">
        <v>3080</v>
      </c>
      <c r="N30" s="36">
        <v>790.55211899999995</v>
      </c>
      <c r="O30" s="36">
        <v>3300</v>
      </c>
      <c r="P30" s="34">
        <f t="shared" si="3"/>
        <v>30.219780219780219</v>
      </c>
      <c r="Q30" s="34">
        <f t="shared" si="4"/>
        <v>2.6919288562874248</v>
      </c>
      <c r="R30" s="34">
        <f t="shared" si="5"/>
        <v>1.4907317073170732</v>
      </c>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row>
    <row r="31" spans="2:44" x14ac:dyDescent="0.3">
      <c r="B31" s="42">
        <v>42767</v>
      </c>
      <c r="C31" s="37">
        <f t="shared" si="6"/>
        <v>28.682924969772316</v>
      </c>
      <c r="D31" s="37">
        <f t="shared" si="7"/>
        <v>32.932254455441303</v>
      </c>
      <c r="E31" s="35"/>
      <c r="F31" s="38">
        <v>3450</v>
      </c>
      <c r="G31" s="38">
        <v>1700</v>
      </c>
      <c r="H31" s="38">
        <v>782</v>
      </c>
      <c r="I31" s="37">
        <f t="shared" si="0"/>
        <v>16.110552763819097</v>
      </c>
      <c r="J31" s="37">
        <f t="shared" si="1"/>
        <v>0.60510805500982323</v>
      </c>
      <c r="K31" s="37">
        <f t="shared" si="2"/>
        <v>11.967264150943397</v>
      </c>
      <c r="L31" s="35"/>
      <c r="M31" s="38">
        <v>2950</v>
      </c>
      <c r="N31" s="38">
        <v>795.82194300000003</v>
      </c>
      <c r="O31" s="38">
        <v>3150</v>
      </c>
      <c r="P31" s="37">
        <f t="shared" si="3"/>
        <v>28.791208791208792</v>
      </c>
      <c r="Q31" s="37">
        <f t="shared" si="4"/>
        <v>2.7234846886227548</v>
      </c>
      <c r="R31" s="37">
        <f t="shared" si="5"/>
        <v>1.417560975609756</v>
      </c>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row>
    <row r="32" spans="2:44" x14ac:dyDescent="0.3">
      <c r="B32" s="41">
        <v>42795</v>
      </c>
      <c r="C32" s="34">
        <f t="shared" si="6"/>
        <v>28.181540376009867</v>
      </c>
      <c r="D32" s="34">
        <f t="shared" si="7"/>
        <v>32.738610091181343</v>
      </c>
      <c r="E32" s="35"/>
      <c r="F32" s="36">
        <v>3650</v>
      </c>
      <c r="G32" s="36">
        <v>1550</v>
      </c>
      <c r="H32" s="36">
        <v>804</v>
      </c>
      <c r="I32" s="34">
        <f t="shared" si="0"/>
        <v>17.115577889447238</v>
      </c>
      <c r="J32" s="34">
        <f t="shared" si="1"/>
        <v>0.53143418467583492</v>
      </c>
      <c r="K32" s="34">
        <f t="shared" si="2"/>
        <v>10.534528301886795</v>
      </c>
      <c r="L32" s="35"/>
      <c r="M32" s="36">
        <v>2900</v>
      </c>
      <c r="N32" s="36">
        <v>838.948893</v>
      </c>
      <c r="O32" s="36">
        <v>3350</v>
      </c>
      <c r="P32" s="34">
        <f t="shared" si="3"/>
        <v>28.241758241758241</v>
      </c>
      <c r="Q32" s="34">
        <f t="shared" si="4"/>
        <v>2.9817298982035929</v>
      </c>
      <c r="R32" s="34">
        <f t="shared" si="5"/>
        <v>1.5151219512195122</v>
      </c>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row>
    <row r="33" spans="2:44" x14ac:dyDescent="0.3">
      <c r="B33" s="42">
        <v>42826</v>
      </c>
      <c r="C33" s="37">
        <f t="shared" si="6"/>
        <v>28.046932879078266</v>
      </c>
      <c r="D33" s="37">
        <f t="shared" si="7"/>
        <v>32.438223176321706</v>
      </c>
      <c r="E33" s="35"/>
      <c r="F33" s="38">
        <v>3725</v>
      </c>
      <c r="G33" s="38">
        <v>1500</v>
      </c>
      <c r="H33" s="38">
        <v>823</v>
      </c>
      <c r="I33" s="37">
        <f t="shared" si="0"/>
        <v>17.492462311557787</v>
      </c>
      <c r="J33" s="37">
        <f t="shared" si="1"/>
        <v>0.50687622789783893</v>
      </c>
      <c r="K33" s="37">
        <f t="shared" si="2"/>
        <v>10.047594339622641</v>
      </c>
      <c r="L33" s="35"/>
      <c r="M33" s="38">
        <v>2875</v>
      </c>
      <c r="N33" s="38">
        <v>828.55364299999997</v>
      </c>
      <c r="O33" s="38">
        <v>3425</v>
      </c>
      <c r="P33" s="37">
        <f t="shared" si="3"/>
        <v>27.967032967032967</v>
      </c>
      <c r="Q33" s="37">
        <f t="shared" si="4"/>
        <v>2.9194828922155684</v>
      </c>
      <c r="R33" s="37">
        <f t="shared" si="5"/>
        <v>1.5517073170731708</v>
      </c>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row>
    <row r="34" spans="2:44" x14ac:dyDescent="0.3">
      <c r="B34" s="41">
        <v>42856</v>
      </c>
      <c r="C34" s="34">
        <f t="shared" si="6"/>
        <v>31.435843732414529</v>
      </c>
      <c r="D34" s="34">
        <f t="shared" si="7"/>
        <v>33.989657822615825</v>
      </c>
      <c r="E34" s="35"/>
      <c r="F34" s="36">
        <v>4300</v>
      </c>
      <c r="G34" s="36">
        <v>1550</v>
      </c>
      <c r="H34" s="36">
        <v>819</v>
      </c>
      <c r="I34" s="34">
        <f t="shared" si="0"/>
        <v>20.381909547738694</v>
      </c>
      <c r="J34" s="34">
        <f t="shared" si="1"/>
        <v>0.53143418467583492</v>
      </c>
      <c r="K34" s="34">
        <f t="shared" si="2"/>
        <v>10.522500000000001</v>
      </c>
      <c r="L34" s="35"/>
      <c r="M34" s="36">
        <v>2975</v>
      </c>
      <c r="N34" s="36">
        <v>857.28528200000005</v>
      </c>
      <c r="O34" s="36">
        <v>4000</v>
      </c>
      <c r="P34" s="34">
        <f t="shared" si="3"/>
        <v>29.065934065934066</v>
      </c>
      <c r="Q34" s="34">
        <f t="shared" si="4"/>
        <v>3.0915286347305395</v>
      </c>
      <c r="R34" s="34">
        <f t="shared" si="5"/>
        <v>1.8321951219512196</v>
      </c>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row>
    <row r="35" spans="2:44" x14ac:dyDescent="0.3">
      <c r="B35" s="42">
        <v>42887</v>
      </c>
      <c r="C35" s="37">
        <f t="shared" si="6"/>
        <v>36.951127539223343</v>
      </c>
      <c r="D35" s="37">
        <f t="shared" si="7"/>
        <v>37.702767519487963</v>
      </c>
      <c r="E35" s="35"/>
      <c r="F35" s="38">
        <v>5100</v>
      </c>
      <c r="G35" s="38">
        <v>1700</v>
      </c>
      <c r="H35" s="38">
        <v>811</v>
      </c>
      <c r="I35" s="37">
        <f t="shared" si="0"/>
        <v>24.402010050251256</v>
      </c>
      <c r="J35" s="37">
        <f t="shared" si="1"/>
        <v>0.60510805500982323</v>
      </c>
      <c r="K35" s="37">
        <f t="shared" si="2"/>
        <v>11.944009433962265</v>
      </c>
      <c r="L35" s="35"/>
      <c r="M35" s="38">
        <v>3250</v>
      </c>
      <c r="N35" s="38">
        <v>907.5335399999999</v>
      </c>
      <c r="O35" s="38">
        <v>4800</v>
      </c>
      <c r="P35" s="37">
        <f t="shared" si="3"/>
        <v>32.087912087912088</v>
      </c>
      <c r="Q35" s="37">
        <f t="shared" si="4"/>
        <v>3.3924164071856282</v>
      </c>
      <c r="R35" s="37">
        <f t="shared" si="5"/>
        <v>2.2224390243902441</v>
      </c>
      <c r="S35" s="16"/>
      <c r="T35" s="16"/>
      <c r="U35" s="16"/>
      <c r="V35" s="16"/>
      <c r="W35" s="16"/>
      <c r="X35" s="16"/>
      <c r="Y35" s="16"/>
      <c r="Z35" s="16"/>
      <c r="AA35" s="16"/>
      <c r="AB35" s="16"/>
      <c r="AC35" s="16"/>
      <c r="AD35" s="16"/>
      <c r="AE35" s="16"/>
      <c r="AF35" s="16"/>
      <c r="AG35" s="16"/>
      <c r="AH35" s="16"/>
      <c r="AI35" s="16"/>
      <c r="AJ35" s="16"/>
      <c r="AK35" s="16"/>
      <c r="AL35" s="16"/>
      <c r="AM35" s="16"/>
      <c r="AN35" s="16"/>
      <c r="AO35" s="16"/>
      <c r="AP35" s="16"/>
      <c r="AQ35" s="16"/>
      <c r="AR35" s="16"/>
    </row>
    <row r="36" spans="2:44" x14ac:dyDescent="0.3">
      <c r="B36" s="41">
        <v>42917</v>
      </c>
      <c r="C36" s="34">
        <f t="shared" si="6"/>
        <v>37.30979818468105</v>
      </c>
      <c r="D36" s="34">
        <f t="shared" si="7"/>
        <v>37.937754582009923</v>
      </c>
      <c r="E36" s="35"/>
      <c r="F36" s="36">
        <v>5420</v>
      </c>
      <c r="G36" s="36">
        <v>1570</v>
      </c>
      <c r="H36" s="36">
        <v>760</v>
      </c>
      <c r="I36" s="34">
        <f t="shared" si="0"/>
        <v>26.010050251256281</v>
      </c>
      <c r="J36" s="34">
        <f t="shared" si="1"/>
        <v>0.54125736738703345</v>
      </c>
      <c r="K36" s="34">
        <f t="shared" si="2"/>
        <v>10.758490566037738</v>
      </c>
      <c r="L36" s="35"/>
      <c r="M36" s="36">
        <v>3300</v>
      </c>
      <c r="N36" s="36">
        <v>828.9498450000001</v>
      </c>
      <c r="O36" s="36">
        <v>5120</v>
      </c>
      <c r="P36" s="34">
        <f t="shared" si="3"/>
        <v>32.637362637362635</v>
      </c>
      <c r="Q36" s="34">
        <f t="shared" si="4"/>
        <v>2.9218553592814374</v>
      </c>
      <c r="R36" s="34">
        <f t="shared" si="5"/>
        <v>2.3785365853658536</v>
      </c>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row>
    <row r="37" spans="2:44" x14ac:dyDescent="0.3">
      <c r="B37" s="42">
        <v>42948</v>
      </c>
      <c r="C37" s="37">
        <f t="shared" si="6"/>
        <v>40.818128031267278</v>
      </c>
      <c r="D37" s="37">
        <f t="shared" si="7"/>
        <v>39.547236211222696</v>
      </c>
      <c r="E37" s="35"/>
      <c r="F37" s="38">
        <v>6150</v>
      </c>
      <c r="G37" s="38">
        <v>1550</v>
      </c>
      <c r="H37" s="38">
        <v>712</v>
      </c>
      <c r="I37" s="37">
        <f t="shared" si="0"/>
        <v>29.678391959798994</v>
      </c>
      <c r="J37" s="37">
        <f t="shared" si="1"/>
        <v>0.53143418467583492</v>
      </c>
      <c r="K37" s="37">
        <f t="shared" si="2"/>
        <v>10.608301886792454</v>
      </c>
      <c r="L37" s="35"/>
      <c r="M37" s="38">
        <v>3425</v>
      </c>
      <c r="N37" s="38">
        <v>808.86937999999998</v>
      </c>
      <c r="O37" s="38">
        <v>5850</v>
      </c>
      <c r="P37" s="37">
        <f t="shared" si="3"/>
        <v>34.010989010989015</v>
      </c>
      <c r="Q37" s="37">
        <f t="shared" si="4"/>
        <v>2.8016130538922153</v>
      </c>
      <c r="R37" s="37">
        <f t="shared" si="5"/>
        <v>2.7346341463414636</v>
      </c>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row>
    <row r="38" spans="2:44" x14ac:dyDescent="0.3">
      <c r="B38" s="41">
        <v>42979</v>
      </c>
      <c r="C38" s="34">
        <f t="shared" si="6"/>
        <v>40.64778301514243</v>
      </c>
      <c r="D38" s="34">
        <f t="shared" si="7"/>
        <v>39.331052144630597</v>
      </c>
      <c r="E38" s="35"/>
      <c r="F38" s="36">
        <v>6150</v>
      </c>
      <c r="G38" s="36">
        <v>1525</v>
      </c>
      <c r="H38" s="36">
        <v>615</v>
      </c>
      <c r="I38" s="34">
        <f t="shared" si="0"/>
        <v>29.678391959798994</v>
      </c>
      <c r="J38" s="34">
        <f t="shared" si="1"/>
        <v>0.51915520628683698</v>
      </c>
      <c r="K38" s="34">
        <f t="shared" si="2"/>
        <v>10.450235849056602</v>
      </c>
      <c r="L38" s="35"/>
      <c r="M38" s="36">
        <v>3450</v>
      </c>
      <c r="N38" s="36">
        <v>726.88751999999999</v>
      </c>
      <c r="O38" s="36">
        <v>5850</v>
      </c>
      <c r="P38" s="34">
        <f t="shared" si="3"/>
        <v>34.285714285714285</v>
      </c>
      <c r="Q38" s="34">
        <f t="shared" si="4"/>
        <v>2.3107037125748504</v>
      </c>
      <c r="R38" s="34">
        <f t="shared" si="5"/>
        <v>2.7346341463414636</v>
      </c>
      <c r="S38" s="16"/>
      <c r="T38" s="16"/>
      <c r="U38" s="16"/>
      <c r="V38" s="16"/>
      <c r="W38" s="16"/>
      <c r="X38" s="16"/>
      <c r="Y38" s="16"/>
      <c r="Z38" s="16"/>
      <c r="AA38" s="16"/>
      <c r="AB38" s="16"/>
      <c r="AC38" s="16"/>
      <c r="AD38" s="16"/>
      <c r="AE38" s="16"/>
      <c r="AF38" s="16"/>
      <c r="AG38" s="16"/>
      <c r="AH38" s="16"/>
      <c r="AI38" s="16"/>
      <c r="AJ38" s="16"/>
      <c r="AK38" s="16"/>
      <c r="AL38" s="16"/>
      <c r="AM38" s="16"/>
      <c r="AN38" s="16"/>
      <c r="AO38" s="16"/>
      <c r="AP38" s="16"/>
      <c r="AQ38" s="16"/>
      <c r="AR38" s="16"/>
    </row>
    <row r="39" spans="2:44" x14ac:dyDescent="0.3">
      <c r="B39" s="42">
        <v>43009</v>
      </c>
      <c r="C39" s="37">
        <f t="shared" si="6"/>
        <v>33.423342918860904</v>
      </c>
      <c r="D39" s="37">
        <f t="shared" si="7"/>
        <v>37.390905629142139</v>
      </c>
      <c r="E39" s="35"/>
      <c r="F39" s="38">
        <v>5050</v>
      </c>
      <c r="G39" s="38">
        <v>1350</v>
      </c>
      <c r="H39" s="38">
        <v>565</v>
      </c>
      <c r="I39" s="37">
        <f t="shared" si="0"/>
        <v>24.150753768844222</v>
      </c>
      <c r="J39" s="37">
        <f t="shared" si="1"/>
        <v>0.43320235756385067</v>
      </c>
      <c r="K39" s="37">
        <f t="shared" si="2"/>
        <v>8.8393867924528298</v>
      </c>
      <c r="L39" s="35"/>
      <c r="M39" s="38">
        <v>3365</v>
      </c>
      <c r="N39" s="38">
        <v>648.48181899999997</v>
      </c>
      <c r="O39" s="38">
        <v>4750</v>
      </c>
      <c r="P39" s="37">
        <f t="shared" si="3"/>
        <v>33.35164835164835</v>
      </c>
      <c r="Q39" s="37">
        <f t="shared" si="4"/>
        <v>1.8412084970059879</v>
      </c>
      <c r="R39" s="37">
        <f t="shared" si="5"/>
        <v>2.1980487804878051</v>
      </c>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row>
    <row r="40" spans="2:44" x14ac:dyDescent="0.3">
      <c r="B40" s="41">
        <v>43040</v>
      </c>
      <c r="C40" s="34">
        <f t="shared" si="6"/>
        <v>29.895985809519857</v>
      </c>
      <c r="D40" s="34">
        <f t="shared" si="7"/>
        <v>35.599517422164517</v>
      </c>
      <c r="E40" s="35"/>
      <c r="F40" s="36">
        <v>4500</v>
      </c>
      <c r="G40" s="36">
        <v>1270</v>
      </c>
      <c r="H40" s="36">
        <v>527</v>
      </c>
      <c r="I40" s="34">
        <f t="shared" si="0"/>
        <v>21.386934673366834</v>
      </c>
      <c r="J40" s="34">
        <f t="shared" si="1"/>
        <v>0.39390962671905699</v>
      </c>
      <c r="K40" s="34">
        <f t="shared" si="2"/>
        <v>8.115141509433963</v>
      </c>
      <c r="L40" s="35"/>
      <c r="M40" s="36">
        <v>3265</v>
      </c>
      <c r="N40" s="36">
        <v>577.64134999999999</v>
      </c>
      <c r="O40" s="36">
        <v>4200</v>
      </c>
      <c r="P40" s="34">
        <f t="shared" si="3"/>
        <v>32.252747252747255</v>
      </c>
      <c r="Q40" s="34">
        <f t="shared" si="4"/>
        <v>1.4170140718562874</v>
      </c>
      <c r="R40" s="34">
        <f t="shared" si="5"/>
        <v>1.9297560975609755</v>
      </c>
      <c r="S40" s="16"/>
      <c r="T40" s="16"/>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row>
    <row r="41" spans="2:44" x14ac:dyDescent="0.3">
      <c r="B41" s="42">
        <v>43070</v>
      </c>
      <c r="C41" s="37">
        <f t="shared" si="6"/>
        <v>27.01849361115918</v>
      </c>
      <c r="D41" s="37">
        <f t="shared" si="7"/>
        <v>32.529791178836646</v>
      </c>
      <c r="E41" s="35"/>
      <c r="F41" s="38">
        <v>4000</v>
      </c>
      <c r="G41" s="38">
        <v>1230</v>
      </c>
      <c r="H41" s="38">
        <v>487</v>
      </c>
      <c r="I41" s="37">
        <f t="shared" si="0"/>
        <v>18.874371859296481</v>
      </c>
      <c r="J41" s="37">
        <f t="shared" si="1"/>
        <v>0.3742632612966601</v>
      </c>
      <c r="K41" s="37">
        <f t="shared" si="2"/>
        <v>7.7698584905660377</v>
      </c>
      <c r="L41" s="35"/>
      <c r="M41" s="38">
        <v>3000</v>
      </c>
      <c r="N41" s="38">
        <v>592.04745600000001</v>
      </c>
      <c r="O41" s="38">
        <v>3700</v>
      </c>
      <c r="P41" s="37">
        <f t="shared" si="3"/>
        <v>29.340659340659339</v>
      </c>
      <c r="Q41" s="37">
        <f t="shared" si="4"/>
        <v>1.5032781796407186</v>
      </c>
      <c r="R41" s="37">
        <f t="shared" si="5"/>
        <v>1.6858536585365853</v>
      </c>
      <c r="S41" s="16"/>
      <c r="T41" s="16"/>
      <c r="U41" s="16"/>
      <c r="V41" s="16"/>
      <c r="W41" s="16"/>
      <c r="X41" s="16"/>
      <c r="Y41" s="16"/>
      <c r="Z41" s="16"/>
      <c r="AA41" s="16"/>
      <c r="AB41" s="16"/>
      <c r="AC41" s="16"/>
      <c r="AD41" s="16"/>
      <c r="AE41" s="16"/>
      <c r="AF41" s="16"/>
      <c r="AG41" s="16"/>
      <c r="AH41" s="16"/>
      <c r="AI41" s="16"/>
      <c r="AJ41" s="16"/>
      <c r="AK41" s="16"/>
      <c r="AL41" s="16"/>
      <c r="AM41" s="16"/>
      <c r="AN41" s="16"/>
      <c r="AO41" s="16"/>
      <c r="AP41" s="16"/>
      <c r="AQ41" s="16"/>
      <c r="AR41" s="16"/>
    </row>
    <row r="42" spans="2:44" x14ac:dyDescent="0.3">
      <c r="B42" s="41">
        <v>43101</v>
      </c>
      <c r="C42" s="34">
        <f t="shared" si="6"/>
        <v>24.632032022253092</v>
      </c>
      <c r="D42" s="34">
        <f t="shared" si="7"/>
        <v>30.718787752187932</v>
      </c>
      <c r="E42" s="35"/>
      <c r="F42" s="36">
        <v>3660</v>
      </c>
      <c r="G42" s="36">
        <v>1160</v>
      </c>
      <c r="H42" s="36">
        <v>466</v>
      </c>
      <c r="I42" s="34">
        <f t="shared" si="0"/>
        <v>17.165829145728644</v>
      </c>
      <c r="J42" s="34">
        <f t="shared" si="1"/>
        <v>0.33988212180746563</v>
      </c>
      <c r="K42" s="34">
        <f t="shared" si="2"/>
        <v>7.1263207547169811</v>
      </c>
      <c r="L42" s="35"/>
      <c r="M42" s="36">
        <v>2850</v>
      </c>
      <c r="N42" s="36">
        <v>592.58217000000002</v>
      </c>
      <c r="O42" s="36">
        <v>3360</v>
      </c>
      <c r="P42" s="34">
        <f t="shared" si="3"/>
        <v>27.692307692307693</v>
      </c>
      <c r="Q42" s="34">
        <f t="shared" si="4"/>
        <v>1.5064800598802395</v>
      </c>
      <c r="R42" s="34">
        <f t="shared" si="5"/>
        <v>1.52</v>
      </c>
      <c r="S42" s="16"/>
      <c r="T42" s="16"/>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row>
    <row r="43" spans="2:44" x14ac:dyDescent="0.3">
      <c r="B43" s="42">
        <v>43132</v>
      </c>
      <c r="C43" s="37">
        <f t="shared" si="6"/>
        <v>27.551962555856718</v>
      </c>
      <c r="D43" s="37">
        <f t="shared" si="7"/>
        <v>31.958651512686234</v>
      </c>
      <c r="E43" s="35"/>
      <c r="F43" s="38">
        <v>4300</v>
      </c>
      <c r="G43" s="38">
        <v>1130</v>
      </c>
      <c r="H43" s="38">
        <v>464</v>
      </c>
      <c r="I43" s="37">
        <f t="shared" si="0"/>
        <v>20.381909547738694</v>
      </c>
      <c r="J43" s="37">
        <f t="shared" si="1"/>
        <v>0.325147347740668</v>
      </c>
      <c r="K43" s="37">
        <f t="shared" si="2"/>
        <v>6.8449056603773588</v>
      </c>
      <c r="L43" s="35"/>
      <c r="M43" s="38">
        <v>2925</v>
      </c>
      <c r="N43" s="38">
        <v>609.86546999999996</v>
      </c>
      <c r="O43" s="38">
        <v>4000</v>
      </c>
      <c r="P43" s="37">
        <f t="shared" si="3"/>
        <v>28.516483516483518</v>
      </c>
      <c r="Q43" s="37">
        <f t="shared" si="4"/>
        <v>1.6099728742514967</v>
      </c>
      <c r="R43" s="37">
        <f t="shared" si="5"/>
        <v>1.8321951219512196</v>
      </c>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row>
    <row r="44" spans="2:44" x14ac:dyDescent="0.3">
      <c r="B44" s="41">
        <v>43160</v>
      </c>
      <c r="C44" s="34">
        <f t="shared" si="6"/>
        <v>27.342841726052512</v>
      </c>
      <c r="D44" s="34">
        <f t="shared" si="7"/>
        <v>31.698280470471545</v>
      </c>
      <c r="E44" s="35"/>
      <c r="F44" s="36">
        <v>4220</v>
      </c>
      <c r="G44" s="36">
        <v>1150</v>
      </c>
      <c r="H44" s="36">
        <v>471</v>
      </c>
      <c r="I44" s="34">
        <f t="shared" si="0"/>
        <v>19.979899497487438</v>
      </c>
      <c r="J44" s="34">
        <f t="shared" si="1"/>
        <v>0.33497053045186642</v>
      </c>
      <c r="K44" s="34">
        <f t="shared" si="2"/>
        <v>7.0279716981132072</v>
      </c>
      <c r="L44" s="35"/>
      <c r="M44" s="36">
        <v>2900</v>
      </c>
      <c r="N44" s="36">
        <v>618.77969999999993</v>
      </c>
      <c r="O44" s="36">
        <v>3920</v>
      </c>
      <c r="P44" s="34">
        <f t="shared" si="3"/>
        <v>28.241758241758241</v>
      </c>
      <c r="Q44" s="34">
        <f t="shared" si="4"/>
        <v>1.6633514970059877</v>
      </c>
      <c r="R44" s="34">
        <f t="shared" si="5"/>
        <v>1.7931707317073171</v>
      </c>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row>
    <row r="45" spans="2:44" x14ac:dyDescent="0.3">
      <c r="B45" s="42">
        <v>43191</v>
      </c>
      <c r="C45" s="37">
        <f>I45+J45+K45</f>
        <v>29.590692420753729</v>
      </c>
      <c r="D45" s="37">
        <f t="shared" si="7"/>
        <v>32.04554697431778</v>
      </c>
      <c r="E45" s="35"/>
      <c r="F45" s="38">
        <v>4660</v>
      </c>
      <c r="G45" s="38">
        <v>1155</v>
      </c>
      <c r="H45" s="38">
        <v>487</v>
      </c>
      <c r="I45" s="37">
        <f t="shared" si="0"/>
        <v>22.190954773869347</v>
      </c>
      <c r="J45" s="37">
        <f t="shared" si="1"/>
        <v>0.337426326129666</v>
      </c>
      <c r="K45" s="37">
        <f t="shared" si="2"/>
        <v>7.0623113207547172</v>
      </c>
      <c r="L45" s="35"/>
      <c r="M45" s="38">
        <v>2920</v>
      </c>
      <c r="N45" s="38">
        <v>604.22600699999998</v>
      </c>
      <c r="O45" s="38">
        <v>4360</v>
      </c>
      <c r="P45" s="37">
        <f t="shared" si="3"/>
        <v>28.46153846153846</v>
      </c>
      <c r="Q45" s="37">
        <f t="shared" si="4"/>
        <v>1.5762036347305388</v>
      </c>
      <c r="R45" s="37">
        <f t="shared" si="5"/>
        <v>2.0078048780487805</v>
      </c>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row>
    <row r="46" spans="2:44" x14ac:dyDescent="0.3">
      <c r="B46" s="41">
        <v>43221</v>
      </c>
      <c r="C46" s="34">
        <f t="shared" si="6"/>
        <v>33.795695231169375</v>
      </c>
      <c r="D46" s="34">
        <f t="shared" si="7"/>
        <v>33.021125000473454</v>
      </c>
      <c r="E46" s="35"/>
      <c r="F46" s="36">
        <v>5180</v>
      </c>
      <c r="G46" s="36">
        <v>1320</v>
      </c>
      <c r="H46" s="36">
        <v>544</v>
      </c>
      <c r="I46" s="34">
        <f t="shared" si="0"/>
        <v>24.804020100502512</v>
      </c>
      <c r="J46" s="34">
        <f t="shared" si="1"/>
        <v>0.41846758349705304</v>
      </c>
      <c r="K46" s="34">
        <f t="shared" si="2"/>
        <v>8.5732075471698117</v>
      </c>
      <c r="L46" s="35"/>
      <c r="M46" s="36">
        <v>2970</v>
      </c>
      <c r="N46" s="36">
        <v>633.02832000000001</v>
      </c>
      <c r="O46" s="36">
        <v>4880</v>
      </c>
      <c r="P46" s="34">
        <f t="shared" si="3"/>
        <v>29.010989010989011</v>
      </c>
      <c r="Q46" s="34">
        <f t="shared" si="4"/>
        <v>1.7486725748502996</v>
      </c>
      <c r="R46" s="34">
        <f t="shared" si="5"/>
        <v>2.2614634146341461</v>
      </c>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row>
    <row r="47" spans="2:44" x14ac:dyDescent="0.3">
      <c r="B47" s="42">
        <v>43252</v>
      </c>
      <c r="C47" s="37">
        <f t="shared" si="6"/>
        <v>33.906962673675309</v>
      </c>
      <c r="D47" s="37">
        <f t="shared" si="7"/>
        <v>33.477331313786259</v>
      </c>
      <c r="E47" s="35"/>
      <c r="F47" s="38">
        <v>5130</v>
      </c>
      <c r="G47" s="38">
        <v>1360</v>
      </c>
      <c r="H47" s="38">
        <v>587</v>
      </c>
      <c r="I47" s="37">
        <f t="shared" si="0"/>
        <v>24.552763819095478</v>
      </c>
      <c r="J47" s="37">
        <f t="shared" si="1"/>
        <v>0.43811394891944988</v>
      </c>
      <c r="K47" s="37">
        <f t="shared" si="2"/>
        <v>8.9160849056603766</v>
      </c>
      <c r="L47" s="35"/>
      <c r="M47" s="38">
        <v>3000</v>
      </c>
      <c r="N47" s="38">
        <v>658.23299999999995</v>
      </c>
      <c r="O47" s="38">
        <v>4830</v>
      </c>
      <c r="P47" s="37">
        <f t="shared" si="3"/>
        <v>29.340659340659339</v>
      </c>
      <c r="Q47" s="37">
        <f t="shared" si="4"/>
        <v>1.8995988023952093</v>
      </c>
      <c r="R47" s="37">
        <f t="shared" si="5"/>
        <v>2.2370731707317075</v>
      </c>
      <c r="S47" s="16"/>
      <c r="T47" s="16"/>
      <c r="U47" s="16"/>
      <c r="V47" s="16"/>
      <c r="W47" s="16"/>
      <c r="X47" s="16"/>
      <c r="Y47" s="16"/>
      <c r="Z47" s="16"/>
      <c r="AA47" s="16"/>
      <c r="AB47" s="16"/>
      <c r="AC47" s="16"/>
      <c r="AD47" s="16"/>
      <c r="AE47" s="16"/>
      <c r="AF47" s="16"/>
      <c r="AG47" s="16"/>
      <c r="AH47" s="16"/>
      <c r="AI47" s="16"/>
      <c r="AJ47" s="16"/>
      <c r="AK47" s="16"/>
      <c r="AL47" s="16"/>
      <c r="AM47" s="16"/>
      <c r="AN47" s="16"/>
      <c r="AO47" s="16"/>
      <c r="AP47" s="16"/>
      <c r="AQ47" s="16"/>
      <c r="AR47" s="16"/>
    </row>
    <row r="48" spans="2:44" x14ac:dyDescent="0.3">
      <c r="B48" s="41">
        <v>43282</v>
      </c>
      <c r="C48" s="34">
        <f t="shared" si="6"/>
        <v>32.407273178268554</v>
      </c>
      <c r="D48" s="34">
        <f t="shared" si="7"/>
        <v>34.080607589832397</v>
      </c>
      <c r="E48" s="35"/>
      <c r="F48" s="36">
        <v>4880</v>
      </c>
      <c r="G48" s="36">
        <v>1340</v>
      </c>
      <c r="H48" s="36">
        <v>643</v>
      </c>
      <c r="I48" s="34">
        <f t="shared" si="0"/>
        <v>23.2964824120603</v>
      </c>
      <c r="J48" s="34">
        <f t="shared" si="1"/>
        <v>0.42829076620825146</v>
      </c>
      <c r="K48" s="34">
        <f t="shared" si="2"/>
        <v>8.6824999999999992</v>
      </c>
      <c r="L48" s="35"/>
      <c r="M48" s="36">
        <v>3050</v>
      </c>
      <c r="N48" s="36">
        <v>687.58775000000003</v>
      </c>
      <c r="O48" s="36">
        <v>4580</v>
      </c>
      <c r="P48" s="34">
        <f t="shared" si="3"/>
        <v>29.890109890109891</v>
      </c>
      <c r="Q48" s="34">
        <f t="shared" si="4"/>
        <v>2.075375748502994</v>
      </c>
      <c r="R48" s="34">
        <f t="shared" si="5"/>
        <v>2.1151219512195123</v>
      </c>
      <c r="S48" s="16"/>
      <c r="T48" s="16"/>
      <c r="U48" s="16"/>
      <c r="V48" s="16"/>
      <c r="W48" s="16"/>
      <c r="X48" s="16"/>
      <c r="Y48" s="16"/>
      <c r="Z48" s="16"/>
      <c r="AA48" s="16"/>
      <c r="AB48" s="16"/>
      <c r="AC48" s="16"/>
      <c r="AD48" s="16"/>
      <c r="AE48" s="16"/>
      <c r="AF48" s="16"/>
      <c r="AG48" s="16"/>
      <c r="AH48" s="16"/>
      <c r="AI48" s="16"/>
      <c r="AJ48" s="16"/>
      <c r="AK48" s="16"/>
      <c r="AL48" s="16"/>
      <c r="AM48" s="16"/>
      <c r="AN48" s="16"/>
      <c r="AO48" s="16"/>
      <c r="AP48" s="16"/>
      <c r="AQ48" s="16"/>
      <c r="AR48" s="16"/>
    </row>
    <row r="49" spans="2:45" x14ac:dyDescent="0.3">
      <c r="B49" s="42">
        <v>43313</v>
      </c>
      <c r="C49" s="37">
        <f t="shared" si="6"/>
        <v>33.777227688187018</v>
      </c>
      <c r="D49" s="37">
        <f t="shared" si="7"/>
        <v>34.338494842887258</v>
      </c>
      <c r="E49" s="35"/>
      <c r="F49" s="38">
        <v>5080</v>
      </c>
      <c r="G49" s="38">
        <v>1380</v>
      </c>
      <c r="H49" s="38">
        <v>683</v>
      </c>
      <c r="I49" s="37">
        <f t="shared" si="0"/>
        <v>24.301507537688444</v>
      </c>
      <c r="J49" s="37">
        <f t="shared" si="1"/>
        <v>0.44793713163064836</v>
      </c>
      <c r="K49" s="37">
        <f t="shared" si="2"/>
        <v>9.0277830188679253</v>
      </c>
      <c r="L49" s="35"/>
      <c r="M49" s="38">
        <v>3050</v>
      </c>
      <c r="N49" s="38">
        <v>714.36223833333304</v>
      </c>
      <c r="O49" s="38">
        <v>4780</v>
      </c>
      <c r="P49" s="37">
        <f t="shared" si="3"/>
        <v>29.890109890109891</v>
      </c>
      <c r="Q49" s="37">
        <f t="shared" si="4"/>
        <v>2.2357020259481017</v>
      </c>
      <c r="R49" s="37">
        <f t="shared" si="5"/>
        <v>2.2126829268292685</v>
      </c>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row>
    <row r="50" spans="2:45" x14ac:dyDescent="0.3">
      <c r="B50" s="41">
        <v>43344</v>
      </c>
      <c r="C50" s="34">
        <f t="shared" si="6"/>
        <v>32.408671004967374</v>
      </c>
      <c r="D50" s="34">
        <f t="shared" si="7"/>
        <v>34.343517267063305</v>
      </c>
      <c r="E50" s="35"/>
      <c r="F50" s="36">
        <v>4750</v>
      </c>
      <c r="G50" s="36">
        <v>1410</v>
      </c>
      <c r="H50" s="36">
        <v>693</v>
      </c>
      <c r="I50" s="34">
        <f t="shared" si="0"/>
        <v>22.643216080402009</v>
      </c>
      <c r="J50" s="34">
        <f t="shared" si="1"/>
        <v>0.46267190569744598</v>
      </c>
      <c r="K50" s="34">
        <f t="shared" si="2"/>
        <v>9.3027830188679239</v>
      </c>
      <c r="L50" s="35"/>
      <c r="M50" s="36">
        <v>3050</v>
      </c>
      <c r="N50" s="36">
        <v>742.08391000000006</v>
      </c>
      <c r="O50" s="36">
        <v>4450</v>
      </c>
      <c r="P50" s="34">
        <f t="shared" si="3"/>
        <v>29.890109890109891</v>
      </c>
      <c r="Q50" s="34">
        <f t="shared" si="4"/>
        <v>2.4017000598802398</v>
      </c>
      <c r="R50" s="34">
        <f t="shared" si="5"/>
        <v>2.0517073170731708</v>
      </c>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row>
    <row r="51" spans="2:45" x14ac:dyDescent="0.3">
      <c r="B51" s="42">
        <v>43374</v>
      </c>
      <c r="C51" s="37">
        <f t="shared" si="6"/>
        <v>28.829349855627996</v>
      </c>
      <c r="D51" s="37">
        <f t="shared" si="7"/>
        <v>33.343698091791225</v>
      </c>
      <c r="E51" s="35"/>
      <c r="F51" s="38">
        <v>4100</v>
      </c>
      <c r="G51" s="38">
        <v>1380</v>
      </c>
      <c r="H51" s="38">
        <v>712</v>
      </c>
      <c r="I51" s="37">
        <f t="shared" si="0"/>
        <v>19.376884422110553</v>
      </c>
      <c r="J51" s="37">
        <f t="shared" si="1"/>
        <v>0.44793713163064836</v>
      </c>
      <c r="K51" s="37">
        <f t="shared" si="2"/>
        <v>9.0045283018867917</v>
      </c>
      <c r="L51" s="35"/>
      <c r="M51" s="38">
        <v>3000</v>
      </c>
      <c r="N51" s="38">
        <v>719.82356900000002</v>
      </c>
      <c r="O51" s="38">
        <v>3800</v>
      </c>
      <c r="P51" s="37">
        <f t="shared" si="3"/>
        <v>29.340659340659339</v>
      </c>
      <c r="Q51" s="37">
        <f t="shared" si="4"/>
        <v>2.2684046047904189</v>
      </c>
      <c r="R51" s="37">
        <f t="shared" si="5"/>
        <v>1.7346341463414634</v>
      </c>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row>
    <row r="52" spans="2:45" x14ac:dyDescent="0.3">
      <c r="B52" s="41">
        <v>43405</v>
      </c>
      <c r="C52" s="34">
        <f t="shared" si="6"/>
        <v>27.458739987050201</v>
      </c>
      <c r="D52" s="34">
        <f t="shared" si="7"/>
        <v>31.69827413343776</v>
      </c>
      <c r="E52" s="35"/>
      <c r="F52" s="36">
        <v>3750</v>
      </c>
      <c r="G52" s="36">
        <v>1420</v>
      </c>
      <c r="H52" s="36">
        <v>723</v>
      </c>
      <c r="I52" s="34">
        <f t="shared" si="0"/>
        <v>17.618090452261306</v>
      </c>
      <c r="J52" s="34">
        <f t="shared" si="1"/>
        <v>0.46758349705304519</v>
      </c>
      <c r="K52" s="34">
        <f t="shared" si="2"/>
        <v>9.3730660377358497</v>
      </c>
      <c r="L52" s="35"/>
      <c r="M52" s="36">
        <v>2860</v>
      </c>
      <c r="N52" s="36">
        <v>730.47303999999997</v>
      </c>
      <c r="O52" s="36">
        <v>3450</v>
      </c>
      <c r="P52" s="34">
        <f t="shared" si="3"/>
        <v>27.802197802197803</v>
      </c>
      <c r="Q52" s="34">
        <f t="shared" si="4"/>
        <v>2.3321738922155686</v>
      </c>
      <c r="R52" s="34">
        <f t="shared" si="5"/>
        <v>1.5639024390243903</v>
      </c>
      <c r="S52" s="16"/>
      <c r="T52" s="16"/>
      <c r="U52" s="16"/>
      <c r="V52" s="16"/>
      <c r="W52" s="16"/>
      <c r="X52" s="16"/>
      <c r="Y52" s="16"/>
      <c r="Z52" s="16"/>
      <c r="AA52" s="16"/>
      <c r="AB52" s="16"/>
      <c r="AC52" s="16"/>
      <c r="AD52" s="16"/>
      <c r="AE52" s="16"/>
      <c r="AF52" s="16"/>
      <c r="AG52" s="16"/>
      <c r="AH52" s="16"/>
      <c r="AI52" s="16"/>
      <c r="AJ52" s="16"/>
      <c r="AK52" s="16"/>
      <c r="AL52" s="16"/>
      <c r="AM52" s="16"/>
      <c r="AN52" s="16"/>
      <c r="AO52" s="16"/>
      <c r="AP52" s="16"/>
      <c r="AQ52" s="16"/>
      <c r="AR52" s="16"/>
    </row>
    <row r="53" spans="2:45" x14ac:dyDescent="0.3">
      <c r="B53" s="42">
        <v>43435</v>
      </c>
      <c r="C53" s="37">
        <f t="shared" si="6"/>
        <v>27.8809437352459</v>
      </c>
      <c r="D53" s="37">
        <f t="shared" si="7"/>
        <v>31.677698640168071</v>
      </c>
      <c r="E53" s="35"/>
      <c r="F53" s="38">
        <v>3680</v>
      </c>
      <c r="G53" s="38">
        <v>1500</v>
      </c>
      <c r="H53" s="38">
        <v>748</v>
      </c>
      <c r="I53" s="37">
        <f t="shared" si="0"/>
        <v>17.266331658291456</v>
      </c>
      <c r="J53" s="37">
        <f t="shared" si="1"/>
        <v>0.50687622789783893</v>
      </c>
      <c r="K53" s="37">
        <f t="shared" si="2"/>
        <v>10.107735849056604</v>
      </c>
      <c r="L53" s="35"/>
      <c r="M53" s="38">
        <v>2850</v>
      </c>
      <c r="N53" s="38">
        <v>751.09102000000007</v>
      </c>
      <c r="O53" s="38">
        <v>3380</v>
      </c>
      <c r="P53" s="37">
        <f t="shared" si="3"/>
        <v>27.692307692307693</v>
      </c>
      <c r="Q53" s="37">
        <f t="shared" si="4"/>
        <v>2.4556348502994014</v>
      </c>
      <c r="R53" s="37">
        <f t="shared" si="5"/>
        <v>1.5297560975609756</v>
      </c>
      <c r="S53" s="16"/>
      <c r="T53" s="16"/>
      <c r="U53" s="16"/>
      <c r="V53" s="16"/>
      <c r="W53" s="16"/>
      <c r="X53" s="16"/>
      <c r="Y53" s="16"/>
      <c r="Z53" s="16"/>
      <c r="AA53" s="16"/>
      <c r="AB53" s="16"/>
      <c r="AC53" s="16"/>
      <c r="AD53" s="16"/>
      <c r="AE53" s="16"/>
      <c r="AF53" s="16"/>
      <c r="AG53" s="16"/>
      <c r="AH53" s="16"/>
      <c r="AI53" s="16"/>
      <c r="AJ53" s="16"/>
      <c r="AK53" s="16"/>
      <c r="AL53" s="16"/>
      <c r="AM53" s="16"/>
      <c r="AN53" s="16"/>
      <c r="AO53" s="16"/>
      <c r="AP53" s="16"/>
      <c r="AQ53" s="16"/>
      <c r="AR53" s="16"/>
    </row>
    <row r="54" spans="2:45" x14ac:dyDescent="0.3">
      <c r="B54" s="41">
        <v>43466</v>
      </c>
      <c r="C54" s="34">
        <f t="shared" si="6"/>
        <v>30.666525030255627</v>
      </c>
      <c r="D54" s="34">
        <f t="shared" si="7"/>
        <v>32.233987899296558</v>
      </c>
      <c r="E54" s="35"/>
      <c r="F54" s="36">
        <v>3900</v>
      </c>
      <c r="G54" s="36">
        <v>1670</v>
      </c>
      <c r="H54" s="36">
        <v>757</v>
      </c>
      <c r="I54" s="34">
        <f t="shared" si="0"/>
        <v>18.371859296482413</v>
      </c>
      <c r="J54" s="34">
        <f t="shared" si="1"/>
        <v>0.59037328094302555</v>
      </c>
      <c r="K54" s="34">
        <f t="shared" si="2"/>
        <v>11.704292452830188</v>
      </c>
      <c r="L54" s="35"/>
      <c r="M54" s="36">
        <v>2880</v>
      </c>
      <c r="N54" s="36">
        <v>771.01443000000006</v>
      </c>
      <c r="O54" s="36">
        <v>3600</v>
      </c>
      <c r="P54" s="34">
        <f t="shared" si="3"/>
        <v>28.021978021978022</v>
      </c>
      <c r="Q54" s="34">
        <f t="shared" si="4"/>
        <v>2.5749367065868269</v>
      </c>
      <c r="R54" s="34">
        <f t="shared" si="5"/>
        <v>1.6370731707317072</v>
      </c>
      <c r="S54" s="16"/>
      <c r="T54" s="16"/>
      <c r="U54" s="16"/>
      <c r="V54" s="16"/>
      <c r="W54" s="16"/>
      <c r="X54" s="16"/>
      <c r="Y54" s="16"/>
      <c r="Z54" s="16"/>
      <c r="AA54" s="16"/>
      <c r="AB54" s="16"/>
      <c r="AC54" s="16"/>
      <c r="AD54" s="16"/>
      <c r="AE54" s="16"/>
      <c r="AF54" s="16"/>
      <c r="AG54" s="16"/>
      <c r="AH54" s="16"/>
      <c r="AI54" s="16"/>
      <c r="AJ54" s="16"/>
      <c r="AK54" s="16"/>
      <c r="AL54" s="16"/>
      <c r="AM54" s="16"/>
      <c r="AN54" s="16"/>
      <c r="AO54" s="16"/>
      <c r="AP54" s="16"/>
      <c r="AQ54" s="16"/>
      <c r="AR54" s="16"/>
    </row>
    <row r="55" spans="2:45" x14ac:dyDescent="0.3">
      <c r="B55" s="42">
        <v>43497</v>
      </c>
      <c r="C55" s="37">
        <f t="shared" si="6"/>
        <v>29.773933782323041</v>
      </c>
      <c r="D55" s="37">
        <f t="shared" si="7"/>
        <v>32.059813760257562</v>
      </c>
      <c r="E55" s="35"/>
      <c r="F55" s="38">
        <v>3680</v>
      </c>
      <c r="G55" s="38">
        <v>1690</v>
      </c>
      <c r="H55" s="38">
        <v>739</v>
      </c>
      <c r="I55" s="37">
        <f t="shared" si="0"/>
        <v>17.266331658291456</v>
      </c>
      <c r="J55" s="37">
        <f t="shared" si="1"/>
        <v>0.60019646365422397</v>
      </c>
      <c r="K55" s="37">
        <f t="shared" si="2"/>
        <v>11.907405660377359</v>
      </c>
      <c r="L55" s="35"/>
      <c r="M55" s="38">
        <v>2880</v>
      </c>
      <c r="N55" s="38">
        <v>759.84929999999997</v>
      </c>
      <c r="O55" s="38">
        <v>3380</v>
      </c>
      <c r="P55" s="37">
        <f t="shared" si="3"/>
        <v>28.021978021978022</v>
      </c>
      <c r="Q55" s="37">
        <f t="shared" si="4"/>
        <v>2.508079640718563</v>
      </c>
      <c r="R55" s="37">
        <f t="shared" si="5"/>
        <v>1.5297560975609756</v>
      </c>
      <c r="S55" s="16"/>
      <c r="T55" s="16"/>
      <c r="U55" s="16"/>
      <c r="V55" s="16"/>
      <c r="W55" s="16"/>
      <c r="X55" s="16"/>
      <c r="Y55" s="16"/>
      <c r="Z55" s="16"/>
      <c r="AA55" s="16"/>
      <c r="AB55" s="16"/>
      <c r="AC55" s="16"/>
      <c r="AD55" s="16"/>
      <c r="AE55" s="16"/>
      <c r="AF55" s="16"/>
      <c r="AG55" s="16"/>
      <c r="AH55" s="16"/>
      <c r="AI55" s="16"/>
      <c r="AJ55" s="16"/>
      <c r="AK55" s="16"/>
      <c r="AL55" s="16"/>
      <c r="AM55" s="16"/>
      <c r="AN55" s="16"/>
      <c r="AO55" s="16"/>
      <c r="AP55" s="16"/>
      <c r="AQ55" s="16"/>
      <c r="AR55" s="16"/>
    </row>
    <row r="56" spans="2:45" x14ac:dyDescent="0.3">
      <c r="B56" s="41">
        <v>43525</v>
      </c>
      <c r="C56" s="34">
        <f t="shared" si="6"/>
        <v>28.727575091884525</v>
      </c>
      <c r="D56" s="34">
        <f t="shared" si="7"/>
        <v>31.435398946518649</v>
      </c>
      <c r="E56" s="35"/>
      <c r="F56" s="36">
        <v>3510</v>
      </c>
      <c r="G56" s="36">
        <v>1670</v>
      </c>
      <c r="H56" s="36">
        <v>731</v>
      </c>
      <c r="I56" s="34">
        <f t="shared" si="0"/>
        <v>16.412060301507537</v>
      </c>
      <c r="J56" s="34">
        <f t="shared" si="1"/>
        <v>0.59037328094302555</v>
      </c>
      <c r="K56" s="34">
        <f t="shared" si="2"/>
        <v>11.725141509433962</v>
      </c>
      <c r="L56" s="35"/>
      <c r="M56" s="36">
        <v>2840</v>
      </c>
      <c r="N56" s="36">
        <v>742.82740000000001</v>
      </c>
      <c r="O56" s="36">
        <v>3210</v>
      </c>
      <c r="P56" s="34">
        <f t="shared" si="3"/>
        <v>27.582417582417584</v>
      </c>
      <c r="Q56" s="34">
        <f t="shared" si="4"/>
        <v>2.4061520958083831</v>
      </c>
      <c r="R56" s="34">
        <f t="shared" si="5"/>
        <v>1.4468292682926829</v>
      </c>
      <c r="S56" s="16"/>
      <c r="T56" s="16"/>
      <c r="U56" s="16"/>
      <c r="V56" s="16"/>
      <c r="W56" s="16"/>
      <c r="X56" s="16"/>
      <c r="Y56" s="16"/>
      <c r="Z56" s="16"/>
      <c r="AA56" s="16"/>
      <c r="AB56" s="16"/>
      <c r="AC56" s="16"/>
      <c r="AD56" s="16"/>
      <c r="AE56" s="16"/>
      <c r="AF56" s="16"/>
      <c r="AG56" s="16"/>
      <c r="AH56" s="16"/>
      <c r="AI56" s="16"/>
      <c r="AJ56" s="16"/>
      <c r="AK56" s="16"/>
      <c r="AL56" s="16"/>
      <c r="AM56" s="16"/>
      <c r="AN56" s="16"/>
      <c r="AO56" s="16"/>
      <c r="AP56" s="16"/>
      <c r="AQ56" s="16"/>
      <c r="AR56" s="16"/>
    </row>
    <row r="57" spans="2:45" x14ac:dyDescent="0.3">
      <c r="B57" s="42">
        <v>43556</v>
      </c>
      <c r="C57" s="37">
        <f t="shared" si="6"/>
        <v>28.289042797577615</v>
      </c>
      <c r="D57" s="37">
        <f t="shared" si="7"/>
        <v>31.176327455001548</v>
      </c>
      <c r="E57" s="35"/>
      <c r="F57" s="38">
        <v>3460</v>
      </c>
      <c r="G57" s="38">
        <v>1650</v>
      </c>
      <c r="H57" s="38">
        <v>717</v>
      </c>
      <c r="I57" s="37">
        <f t="shared" si="0"/>
        <v>16.160804020100503</v>
      </c>
      <c r="J57" s="37">
        <f t="shared" si="1"/>
        <v>0.58055009823182713</v>
      </c>
      <c r="K57" s="37">
        <f t="shared" si="2"/>
        <v>11.547688679245283</v>
      </c>
      <c r="L57" s="35"/>
      <c r="M57" s="38">
        <v>2830</v>
      </c>
      <c r="N57" s="38">
        <v>721.98727999999994</v>
      </c>
      <c r="O57" s="38">
        <v>3160</v>
      </c>
      <c r="P57" s="37">
        <f t="shared" si="3"/>
        <v>27.472527472527471</v>
      </c>
      <c r="Q57" s="37">
        <f t="shared" si="4"/>
        <v>2.2813609580838321</v>
      </c>
      <c r="R57" s="37">
        <f t="shared" si="5"/>
        <v>1.4224390243902438</v>
      </c>
      <c r="S57" s="16"/>
      <c r="T57" s="16"/>
      <c r="U57" s="16"/>
      <c r="V57" s="16"/>
      <c r="W57" s="16"/>
      <c r="X57" s="16"/>
      <c r="Y57" s="16"/>
      <c r="Z57" s="16"/>
      <c r="AA57" s="16"/>
      <c r="AB57" s="16"/>
      <c r="AC57" s="16"/>
      <c r="AD57" s="16"/>
      <c r="AE57" s="16"/>
      <c r="AF57" s="16"/>
      <c r="AG57" s="16"/>
      <c r="AH57" s="16"/>
      <c r="AI57" s="16"/>
      <c r="AJ57" s="16"/>
      <c r="AK57" s="16"/>
      <c r="AL57" s="16"/>
      <c r="AM57" s="16"/>
      <c r="AN57" s="16"/>
      <c r="AO57" s="16"/>
      <c r="AP57" s="16"/>
      <c r="AQ57" s="16"/>
      <c r="AR57" s="16"/>
    </row>
    <row r="58" spans="2:45" x14ac:dyDescent="0.3">
      <c r="B58" s="41">
        <v>43586</v>
      </c>
      <c r="C58" s="34">
        <f t="shared" si="6"/>
        <v>28.999389619633174</v>
      </c>
      <c r="D58" s="34">
        <f t="shared" si="7"/>
        <v>31.062585549057339</v>
      </c>
      <c r="E58" s="35"/>
      <c r="F58" s="36">
        <v>3440</v>
      </c>
      <c r="G58" s="36">
        <v>1730</v>
      </c>
      <c r="H58" s="36">
        <v>696</v>
      </c>
      <c r="I58" s="34">
        <f t="shared" si="0"/>
        <v>16.060301507537687</v>
      </c>
      <c r="J58" s="34">
        <f t="shared" si="1"/>
        <v>0.6198428290766208</v>
      </c>
      <c r="K58" s="34">
        <f t="shared" si="2"/>
        <v>12.319245283018866</v>
      </c>
      <c r="L58" s="35"/>
      <c r="M58" s="36">
        <v>2830</v>
      </c>
      <c r="N58" s="36">
        <v>704.62165000000005</v>
      </c>
      <c r="O58" s="36">
        <v>3140</v>
      </c>
      <c r="P58" s="34">
        <f t="shared" si="3"/>
        <v>27.472527472527471</v>
      </c>
      <c r="Q58" s="34">
        <f t="shared" si="4"/>
        <v>2.1773751497005991</v>
      </c>
      <c r="R58" s="34">
        <f t="shared" si="5"/>
        <v>1.4126829268292682</v>
      </c>
      <c r="S58" s="16"/>
      <c r="T58" s="16"/>
      <c r="U58" s="16"/>
      <c r="V58" s="16"/>
      <c r="W58" s="16"/>
      <c r="X58" s="16"/>
      <c r="Y58" s="16"/>
      <c r="Z58" s="16"/>
      <c r="AA58" s="16"/>
      <c r="AB58" s="16"/>
      <c r="AC58" s="16"/>
      <c r="AD58" s="16"/>
      <c r="AE58" s="16"/>
      <c r="AF58" s="16"/>
      <c r="AG58" s="16"/>
      <c r="AH58" s="16"/>
      <c r="AI58" s="16"/>
      <c r="AJ58" s="16"/>
      <c r="AK58" s="16"/>
      <c r="AL58" s="16"/>
      <c r="AM58" s="16"/>
      <c r="AN58" s="16"/>
      <c r="AO58" s="16"/>
      <c r="AP58" s="16"/>
      <c r="AQ58" s="16"/>
      <c r="AR58" s="16"/>
    </row>
    <row r="59" spans="2:45" x14ac:dyDescent="0.3">
      <c r="B59" s="42">
        <v>43617</v>
      </c>
      <c r="C59" s="37">
        <f t="shared" si="6"/>
        <v>28.90606881620543</v>
      </c>
      <c r="D59" s="37">
        <f t="shared" si="7"/>
        <v>30.980035411770938</v>
      </c>
      <c r="E59" s="35"/>
      <c r="F59" s="38">
        <v>3240</v>
      </c>
      <c r="G59" s="38">
        <v>1820</v>
      </c>
      <c r="H59" s="38">
        <v>673</v>
      </c>
      <c r="I59" s="37">
        <f t="shared" si="0"/>
        <v>15.055276381909549</v>
      </c>
      <c r="J59" s="37">
        <f t="shared" si="1"/>
        <v>0.66404715127701375</v>
      </c>
      <c r="K59" s="37">
        <f t="shared" si="2"/>
        <v>13.186745283018867</v>
      </c>
      <c r="L59" s="35"/>
      <c r="M59" s="38">
        <v>2830</v>
      </c>
      <c r="N59" s="38">
        <v>707.12846000000002</v>
      </c>
      <c r="O59" s="38">
        <v>2940</v>
      </c>
      <c r="P59" s="37">
        <f t="shared" si="3"/>
        <v>27.472527472527471</v>
      </c>
      <c r="Q59" s="37">
        <f t="shared" si="4"/>
        <v>2.1923859880239522</v>
      </c>
      <c r="R59" s="37">
        <f t="shared" si="5"/>
        <v>1.3151219512195123</v>
      </c>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row>
    <row r="60" spans="2:45" x14ac:dyDescent="0.3">
      <c r="B60" s="41">
        <v>43647</v>
      </c>
      <c r="C60" s="34">
        <f t="shared" si="6"/>
        <v>28.356160069260564</v>
      </c>
      <c r="D60" s="34">
        <f t="shared" si="7"/>
        <v>30.630539978734568</v>
      </c>
      <c r="E60" s="35"/>
      <c r="F60" s="36">
        <v>3150</v>
      </c>
      <c r="G60" s="36">
        <v>1810</v>
      </c>
      <c r="H60" s="36">
        <v>671</v>
      </c>
      <c r="I60" s="34">
        <f t="shared" si="0"/>
        <v>14.603015075376884</v>
      </c>
      <c r="J60" s="34">
        <f t="shared" si="1"/>
        <v>0.65913555992141459</v>
      </c>
      <c r="K60" s="34">
        <f t="shared" si="2"/>
        <v>13.094009433962265</v>
      </c>
      <c r="L60" s="35"/>
      <c r="M60" s="36">
        <v>2830</v>
      </c>
      <c r="N60" s="36">
        <v>656.09442999999999</v>
      </c>
      <c r="O60" s="36">
        <v>2850</v>
      </c>
      <c r="P60" s="34">
        <f t="shared" si="3"/>
        <v>27.472527472527471</v>
      </c>
      <c r="Q60" s="34">
        <f t="shared" si="4"/>
        <v>1.8867929940119761</v>
      </c>
      <c r="R60" s="34">
        <f t="shared" si="5"/>
        <v>1.271219512195122</v>
      </c>
      <c r="S60" s="16"/>
      <c r="T60" s="16"/>
      <c r="U60" s="16"/>
      <c r="V60" s="16"/>
      <c r="W60" s="16"/>
      <c r="X60" s="16"/>
      <c r="Y60" s="16"/>
      <c r="Z60" s="16"/>
      <c r="AA60" s="16"/>
      <c r="AB60" s="16"/>
      <c r="AC60" s="16"/>
      <c r="AD60" s="16"/>
      <c r="AE60" s="16"/>
      <c r="AF60" s="16"/>
      <c r="AG60" s="16"/>
      <c r="AH60" s="16"/>
      <c r="AI60" s="16"/>
      <c r="AJ60" s="16"/>
      <c r="AK60" s="16"/>
      <c r="AL60" s="16"/>
      <c r="AM60" s="16"/>
      <c r="AN60" s="16"/>
      <c r="AO60" s="16"/>
      <c r="AP60" s="16"/>
      <c r="AQ60" s="16"/>
      <c r="AR60" s="16"/>
    </row>
    <row r="61" spans="2:45" x14ac:dyDescent="0.3">
      <c r="B61" s="42">
        <v>43678</v>
      </c>
      <c r="C61" s="37">
        <f t="shared" si="6"/>
        <v>28.153357397041923</v>
      </c>
      <c r="D61" s="37">
        <f t="shared" si="7"/>
        <v>30.528322734686078</v>
      </c>
      <c r="E61" s="35"/>
      <c r="F61" s="38">
        <v>3030</v>
      </c>
      <c r="G61" s="38">
        <v>1850</v>
      </c>
      <c r="H61" s="38">
        <v>667</v>
      </c>
      <c r="I61" s="37">
        <f t="shared" si="0"/>
        <v>14</v>
      </c>
      <c r="J61" s="37">
        <f t="shared" si="1"/>
        <v>0.67878192534381143</v>
      </c>
      <c r="K61" s="37">
        <f t="shared" si="2"/>
        <v>13.474575471698113</v>
      </c>
      <c r="L61" s="35"/>
      <c r="M61" s="38">
        <v>2830</v>
      </c>
      <c r="N61" s="38">
        <v>648.79975999999999</v>
      </c>
      <c r="O61" s="38">
        <v>2730</v>
      </c>
      <c r="P61" s="37">
        <f t="shared" si="3"/>
        <v>27.472527472527471</v>
      </c>
      <c r="Q61" s="37">
        <f t="shared" si="4"/>
        <v>1.8431123353293413</v>
      </c>
      <c r="R61" s="37">
        <f t="shared" si="5"/>
        <v>1.2126829268292683</v>
      </c>
      <c r="S61" s="16"/>
      <c r="T61" s="16"/>
      <c r="U61" s="16"/>
      <c r="V61" s="16"/>
      <c r="W61" s="16"/>
      <c r="X61" s="16"/>
      <c r="Y61" s="16"/>
      <c r="Z61" s="16"/>
      <c r="AA61" s="16"/>
      <c r="AB61" s="16"/>
      <c r="AC61" s="16"/>
      <c r="AD61" s="16"/>
      <c r="AE61" s="16"/>
      <c r="AF61" s="16"/>
      <c r="AG61" s="16"/>
      <c r="AH61" s="16"/>
      <c r="AI61" s="16"/>
      <c r="AJ61" s="16"/>
      <c r="AK61" s="16"/>
      <c r="AL61" s="16"/>
      <c r="AM61" s="16"/>
      <c r="AN61" s="16"/>
      <c r="AO61" s="16"/>
      <c r="AP61" s="16"/>
      <c r="AQ61" s="16"/>
      <c r="AR61" s="16"/>
    </row>
    <row r="62" spans="2:45" x14ac:dyDescent="0.3">
      <c r="B62" s="41">
        <v>43709</v>
      </c>
      <c r="C62" s="34">
        <f t="shared" si="6"/>
        <v>30.26698549927977</v>
      </c>
      <c r="D62" s="34">
        <f t="shared" si="7"/>
        <v>30.509077362990446</v>
      </c>
      <c r="E62" s="35"/>
      <c r="F62" s="36">
        <v>3230</v>
      </c>
      <c r="G62" s="36">
        <v>1960</v>
      </c>
      <c r="H62" s="36">
        <v>646</v>
      </c>
      <c r="I62" s="34">
        <f t="shared" si="0"/>
        <v>15.005025125628141</v>
      </c>
      <c r="J62" s="34">
        <f t="shared" si="1"/>
        <v>0.73280943025540279</v>
      </c>
      <c r="K62" s="34">
        <f t="shared" si="2"/>
        <v>14.529150943396226</v>
      </c>
      <c r="L62" s="35"/>
      <c r="M62" s="36">
        <v>2830</v>
      </c>
      <c r="N62" s="36">
        <f>706*0.89135</f>
        <v>629.29309999999998</v>
      </c>
      <c r="O62" s="36">
        <f t="shared" ref="O62:O70" si="8">F62-300</f>
        <v>2930</v>
      </c>
      <c r="P62" s="34">
        <f t="shared" si="3"/>
        <v>27.472527472527471</v>
      </c>
      <c r="Q62" s="34">
        <f t="shared" si="4"/>
        <v>1.726305988023952</v>
      </c>
      <c r="R62" s="34">
        <f t="shared" si="5"/>
        <v>1.3102439024390244</v>
      </c>
      <c r="S62" s="16"/>
      <c r="T62" s="16"/>
      <c r="U62" s="16"/>
      <c r="V62" s="16"/>
      <c r="W62" s="16"/>
      <c r="X62" s="16"/>
      <c r="Y62" s="16"/>
      <c r="Z62" s="16"/>
      <c r="AA62" s="16"/>
      <c r="AB62" s="16"/>
      <c r="AC62" s="16"/>
      <c r="AD62" s="16"/>
      <c r="AE62" s="16"/>
      <c r="AF62" s="16"/>
      <c r="AG62" s="16"/>
      <c r="AH62" s="16"/>
      <c r="AI62" s="16"/>
      <c r="AJ62" s="16"/>
      <c r="AK62" s="16"/>
      <c r="AL62" s="16"/>
      <c r="AM62" s="16"/>
      <c r="AN62" s="16"/>
      <c r="AO62" s="16"/>
      <c r="AP62" s="16"/>
      <c r="AQ62" s="16"/>
      <c r="AR62" s="16"/>
      <c r="AS62" s="16"/>
    </row>
    <row r="63" spans="2:45" x14ac:dyDescent="0.3">
      <c r="B63" s="42">
        <v>43739</v>
      </c>
      <c r="C63" s="37">
        <f t="shared" si="6"/>
        <v>30.785949937719138</v>
      </c>
      <c r="D63" s="37">
        <f t="shared" si="7"/>
        <v>30.691956375696741</v>
      </c>
      <c r="E63" s="35"/>
      <c r="F63" s="38">
        <v>3170</v>
      </c>
      <c r="G63" s="38">
        <v>2040</v>
      </c>
      <c r="H63" s="38">
        <v>613</v>
      </c>
      <c r="I63" s="37">
        <f t="shared" si="0"/>
        <v>14.703517587939698</v>
      </c>
      <c r="J63" s="37">
        <f t="shared" si="1"/>
        <v>0.77210216110019647</v>
      </c>
      <c r="K63" s="37">
        <f t="shared" si="2"/>
        <v>15.310330188679245</v>
      </c>
      <c r="L63" s="35"/>
      <c r="M63" s="38">
        <v>2830</v>
      </c>
      <c r="N63" s="38">
        <f>757*0.8781</f>
        <v>664.72169999999994</v>
      </c>
      <c r="O63" s="38">
        <f t="shared" si="8"/>
        <v>2870</v>
      </c>
      <c r="P63" s="37">
        <f t="shared" si="3"/>
        <v>27.472527472527471</v>
      </c>
      <c r="Q63" s="37">
        <f t="shared" si="4"/>
        <v>1.9384532934131733</v>
      </c>
      <c r="R63" s="37">
        <f t="shared" si="5"/>
        <v>1.2809756097560976</v>
      </c>
      <c r="S63" s="16"/>
      <c r="T63" s="16"/>
      <c r="U63" s="16"/>
      <c r="V63" s="16"/>
      <c r="W63" s="16"/>
      <c r="X63" s="16"/>
      <c r="Y63" s="16"/>
      <c r="Z63" s="16"/>
      <c r="AA63" s="16"/>
      <c r="AB63" s="16"/>
      <c r="AC63" s="16"/>
      <c r="AD63" s="16"/>
      <c r="AE63" s="16"/>
      <c r="AF63" s="16"/>
      <c r="AG63" s="16"/>
      <c r="AH63" s="16"/>
      <c r="AI63" s="16"/>
      <c r="AJ63" s="16"/>
      <c r="AK63" s="16"/>
      <c r="AL63" s="16"/>
      <c r="AM63" s="16"/>
      <c r="AN63" s="16"/>
      <c r="AO63" s="16"/>
      <c r="AP63" s="16"/>
      <c r="AQ63" s="16"/>
      <c r="AR63" s="16"/>
      <c r="AS63" s="16"/>
    </row>
    <row r="64" spans="2:45" x14ac:dyDescent="0.3">
      <c r="B64" s="41">
        <v>43770</v>
      </c>
      <c r="C64" s="34">
        <f t="shared" si="6"/>
        <v>31.729462119974528</v>
      </c>
      <c r="D64" s="34">
        <f t="shared" si="7"/>
        <v>30.807046999327529</v>
      </c>
      <c r="E64" s="35"/>
      <c r="F64" s="36">
        <v>3180</v>
      </c>
      <c r="G64" s="36">
        <v>2130</v>
      </c>
      <c r="H64" s="36">
        <v>613</v>
      </c>
      <c r="I64" s="34">
        <f t="shared" si="0"/>
        <v>14.753768844221106</v>
      </c>
      <c r="J64" s="34">
        <f t="shared" si="1"/>
        <v>0.81630648330058941</v>
      </c>
      <c r="K64" s="34">
        <f t="shared" si="2"/>
        <v>16.159386792452832</v>
      </c>
      <c r="L64" s="35"/>
      <c r="M64" s="36">
        <v>2830</v>
      </c>
      <c r="N64" s="36">
        <f>796*0.8582</f>
        <v>683.12720000000002</v>
      </c>
      <c r="O64" s="36">
        <f t="shared" si="8"/>
        <v>2880</v>
      </c>
      <c r="P64" s="34">
        <f t="shared" si="3"/>
        <v>27.472527472527471</v>
      </c>
      <c r="Q64" s="34">
        <f t="shared" si="4"/>
        <v>2.0486658682634733</v>
      </c>
      <c r="R64" s="34">
        <f t="shared" si="5"/>
        <v>1.2858536585365854</v>
      </c>
      <c r="S64" s="16"/>
      <c r="T64" s="16"/>
      <c r="U64" s="16"/>
      <c r="V64" s="16"/>
      <c r="W64" s="16"/>
      <c r="X64" s="16"/>
      <c r="Y64" s="16"/>
      <c r="Z64" s="16"/>
      <c r="AA64" s="16"/>
      <c r="AB64" s="16"/>
      <c r="AC64" s="16"/>
      <c r="AD64" s="16"/>
      <c r="AE64" s="16"/>
      <c r="AF64" s="16"/>
      <c r="AG64" s="16"/>
      <c r="AH64" s="16"/>
      <c r="AI64" s="16"/>
      <c r="AJ64" s="16"/>
      <c r="AK64" s="16"/>
      <c r="AL64" s="16"/>
      <c r="AM64" s="16"/>
      <c r="AN64" s="16"/>
      <c r="AO64" s="16"/>
      <c r="AP64" s="16"/>
      <c r="AQ64" s="16"/>
      <c r="AR64" s="16"/>
      <c r="AS64" s="16"/>
    </row>
    <row r="65" spans="2:45" x14ac:dyDescent="0.3">
      <c r="B65" s="42">
        <v>43800</v>
      </c>
      <c r="C65" s="37">
        <f t="shared" si="6"/>
        <v>31.777818792408869</v>
      </c>
      <c r="D65" s="37">
        <f t="shared" si="7"/>
        <v>30.765737983700244</v>
      </c>
      <c r="E65" s="35"/>
      <c r="F65" s="38">
        <v>3070</v>
      </c>
      <c r="G65" s="38">
        <v>2190</v>
      </c>
      <c r="H65" s="38">
        <v>606</v>
      </c>
      <c r="I65" s="37">
        <f t="shared" si="0"/>
        <v>14.201005025125628</v>
      </c>
      <c r="J65" s="37">
        <f t="shared" si="1"/>
        <v>0.84577603143418467</v>
      </c>
      <c r="K65" s="37">
        <f t="shared" si="2"/>
        <v>16.731037735849057</v>
      </c>
      <c r="L65" s="35"/>
      <c r="M65" s="38">
        <v>2830</v>
      </c>
      <c r="N65" s="38">
        <f>811*0.84487</f>
        <v>685.18957</v>
      </c>
      <c r="O65" s="38">
        <f t="shared" si="8"/>
        <v>2770</v>
      </c>
      <c r="P65" s="37">
        <f t="shared" si="3"/>
        <v>27.472527472527471</v>
      </c>
      <c r="Q65" s="37">
        <f t="shared" si="4"/>
        <v>2.061015389221557</v>
      </c>
      <c r="R65" s="37">
        <f t="shared" si="5"/>
        <v>1.2321951219512195</v>
      </c>
      <c r="S65" s="16"/>
      <c r="T65" s="16"/>
      <c r="U65" s="16"/>
      <c r="V65" s="16"/>
      <c r="W65" s="16"/>
      <c r="X65" s="16"/>
      <c r="Y65" s="16"/>
      <c r="Z65" s="16"/>
      <c r="AA65" s="16"/>
      <c r="AB65" s="16"/>
      <c r="AC65" s="16"/>
      <c r="AD65" s="16"/>
      <c r="AE65" s="16"/>
      <c r="AF65" s="16"/>
      <c r="AG65" s="16"/>
      <c r="AH65" s="16"/>
      <c r="AI65" s="16"/>
      <c r="AJ65" s="16"/>
      <c r="AK65" s="16"/>
      <c r="AL65" s="16"/>
      <c r="AM65" s="16"/>
      <c r="AN65" s="16"/>
      <c r="AO65" s="16"/>
      <c r="AP65" s="16"/>
      <c r="AQ65" s="16"/>
      <c r="AR65" s="16"/>
      <c r="AS65" s="16"/>
    </row>
    <row r="66" spans="2:45" x14ac:dyDescent="0.3">
      <c r="B66" s="41">
        <v>43831</v>
      </c>
      <c r="C66" s="34">
        <f t="shared" si="6"/>
        <v>32.013292876232001</v>
      </c>
      <c r="D66" s="34">
        <f t="shared" si="7"/>
        <v>30.812817898991614</v>
      </c>
      <c r="E66" s="35"/>
      <c r="F66" s="36">
        <v>3060</v>
      </c>
      <c r="G66" s="36">
        <v>2220</v>
      </c>
      <c r="H66" s="36">
        <v>621</v>
      </c>
      <c r="I66" s="34">
        <f t="shared" si="0"/>
        <v>14.150753768844222</v>
      </c>
      <c r="J66" s="34">
        <f t="shared" si="1"/>
        <v>0.86051080550098236</v>
      </c>
      <c r="K66" s="34">
        <f t="shared" si="2"/>
        <v>17.002028301886792</v>
      </c>
      <c r="L66" s="35"/>
      <c r="M66" s="36">
        <v>2830</v>
      </c>
      <c r="N66" s="36">
        <f>815*0.85137</f>
        <v>693.86654999999996</v>
      </c>
      <c r="O66" s="36">
        <f t="shared" si="8"/>
        <v>2760</v>
      </c>
      <c r="P66" s="34">
        <f t="shared" si="3"/>
        <v>27.472527472527471</v>
      </c>
      <c r="Q66" s="34">
        <f t="shared" si="4"/>
        <v>2.112973353293413</v>
      </c>
      <c r="R66" s="34">
        <f t="shared" si="5"/>
        <v>1.2273170731707317</v>
      </c>
      <c r="S66" s="16"/>
      <c r="T66" s="16"/>
      <c r="U66" s="16"/>
      <c r="V66" s="16"/>
      <c r="W66" s="16"/>
      <c r="X66" s="16"/>
      <c r="Y66" s="16"/>
      <c r="Z66" s="16"/>
      <c r="AA66" s="16"/>
      <c r="AB66" s="16"/>
      <c r="AC66" s="16"/>
      <c r="AD66" s="16"/>
      <c r="AE66" s="16"/>
      <c r="AF66" s="16"/>
      <c r="AG66" s="16"/>
      <c r="AH66" s="16"/>
      <c r="AI66" s="16"/>
      <c r="AJ66" s="16"/>
      <c r="AK66" s="16"/>
      <c r="AL66" s="16"/>
      <c r="AM66" s="16"/>
      <c r="AN66" s="16"/>
      <c r="AO66" s="16"/>
      <c r="AP66" s="16"/>
      <c r="AQ66" s="16"/>
      <c r="AR66" s="16"/>
      <c r="AS66" s="16"/>
    </row>
    <row r="67" spans="2:45" x14ac:dyDescent="0.3">
      <c r="B67" s="42">
        <v>43862</v>
      </c>
      <c r="C67" s="37">
        <f t="shared" si="6"/>
        <v>30.95179527349093</v>
      </c>
      <c r="D67" s="37">
        <f t="shared" si="7"/>
        <v>31.175246567279967</v>
      </c>
      <c r="E67" s="35"/>
      <c r="F67" s="38">
        <v>2930</v>
      </c>
      <c r="G67" s="38">
        <v>2180</v>
      </c>
      <c r="H67" s="38">
        <v>635</v>
      </c>
      <c r="I67" s="37">
        <f t="shared" si="0"/>
        <v>13.49748743718593</v>
      </c>
      <c r="J67" s="37">
        <f t="shared" si="1"/>
        <v>0.84086444007858541</v>
      </c>
      <c r="K67" s="37">
        <f t="shared" si="2"/>
        <v>16.613443396226415</v>
      </c>
      <c r="L67" s="35"/>
      <c r="M67" s="38">
        <v>2870</v>
      </c>
      <c r="N67" s="38">
        <f>823.53*0.83977</f>
        <v>691.57578809999995</v>
      </c>
      <c r="O67" s="38">
        <f t="shared" si="8"/>
        <v>2630</v>
      </c>
      <c r="P67" s="37">
        <f t="shared" si="3"/>
        <v>27.912087912087912</v>
      </c>
      <c r="Q67" s="37">
        <f t="shared" si="4"/>
        <v>2.0992562161676642</v>
      </c>
      <c r="R67" s="37">
        <f t="shared" si="5"/>
        <v>1.1639024390243902</v>
      </c>
      <c r="S67" s="16"/>
      <c r="T67" s="16"/>
      <c r="U67" s="16"/>
      <c r="V67" s="16"/>
      <c r="W67" s="16"/>
      <c r="X67" s="16"/>
      <c r="Y67" s="16"/>
      <c r="Z67" s="16"/>
      <c r="AA67" s="16"/>
      <c r="AB67" s="16"/>
      <c r="AC67" s="16"/>
      <c r="AD67" s="16"/>
      <c r="AE67" s="16"/>
      <c r="AF67" s="16"/>
      <c r="AG67" s="16"/>
      <c r="AH67" s="16"/>
      <c r="AI67" s="16"/>
      <c r="AJ67" s="16"/>
      <c r="AK67" s="16"/>
      <c r="AL67" s="16"/>
      <c r="AM67" s="16"/>
      <c r="AN67" s="16"/>
      <c r="AO67" s="16"/>
      <c r="AP67" s="16"/>
      <c r="AQ67" s="16"/>
      <c r="AR67" s="16"/>
      <c r="AS67" s="16"/>
    </row>
    <row r="68" spans="2:45" x14ac:dyDescent="0.3">
      <c r="B68" s="41">
        <v>43891</v>
      </c>
      <c r="C68" s="34">
        <f t="shared" si="6"/>
        <v>28.980487932396535</v>
      </c>
      <c r="D68" s="34">
        <f t="shared" si="7"/>
        <v>31.601149867640757</v>
      </c>
      <c r="E68" s="35"/>
      <c r="F68" s="36">
        <v>2920</v>
      </c>
      <c r="G68" s="36">
        <v>1990</v>
      </c>
      <c r="H68" s="36">
        <v>679</v>
      </c>
      <c r="I68" s="34">
        <f t="shared" si="0"/>
        <v>13.447236180904522</v>
      </c>
      <c r="J68" s="34">
        <f t="shared" si="1"/>
        <v>0.74754420432220037</v>
      </c>
      <c r="K68" s="34">
        <f t="shared" si="2"/>
        <v>14.785707547169812</v>
      </c>
      <c r="L68" s="35"/>
      <c r="M68" s="36">
        <v>2910</v>
      </c>
      <c r="N68" s="36">
        <f>770.9*0.8952</f>
        <v>690.10968000000003</v>
      </c>
      <c r="O68" s="36">
        <f t="shared" si="8"/>
        <v>2620</v>
      </c>
      <c r="P68" s="34">
        <f t="shared" si="3"/>
        <v>28.35164835164835</v>
      </c>
      <c r="Q68" s="34">
        <f t="shared" si="4"/>
        <v>2.0904771257485031</v>
      </c>
      <c r="R68" s="34">
        <f t="shared" si="5"/>
        <v>1.1590243902439024</v>
      </c>
      <c r="S68" s="16"/>
      <c r="T68" s="16"/>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row>
    <row r="69" spans="2:45" x14ac:dyDescent="0.3">
      <c r="B69" s="42">
        <v>43922</v>
      </c>
      <c r="C69" s="37">
        <f t="shared" si="6"/>
        <v>23.688526578009967</v>
      </c>
      <c r="D69" s="37">
        <f t="shared" si="7"/>
        <v>30.707427017533437</v>
      </c>
      <c r="E69" s="35"/>
      <c r="F69" s="38">
        <v>2390</v>
      </c>
      <c r="G69" s="38">
        <v>1730</v>
      </c>
      <c r="H69" s="38">
        <v>739</v>
      </c>
      <c r="I69" s="37">
        <f t="shared" si="0"/>
        <v>10.78391959798995</v>
      </c>
      <c r="J69" s="37">
        <f t="shared" si="1"/>
        <v>0.6198428290766208</v>
      </c>
      <c r="K69" s="37">
        <f t="shared" si="2"/>
        <v>12.284764150943396</v>
      </c>
      <c r="L69" s="35"/>
      <c r="M69" s="38">
        <v>2880</v>
      </c>
      <c r="N69" s="38">
        <f>729.2/1.141</f>
        <v>639.08851884312014</v>
      </c>
      <c r="O69" s="38">
        <f t="shared" si="8"/>
        <v>2090</v>
      </c>
      <c r="P69" s="37">
        <f t="shared" si="3"/>
        <v>28.021978021978022</v>
      </c>
      <c r="Q69" s="37">
        <f t="shared" si="4"/>
        <v>1.7849611906773661</v>
      </c>
      <c r="R69" s="37">
        <f t="shared" si="5"/>
        <v>0.9004878048780488</v>
      </c>
      <c r="S69" s="16"/>
      <c r="T69" s="16"/>
      <c r="U69" s="16"/>
      <c r="V69" s="16"/>
      <c r="W69" s="16"/>
      <c r="X69" s="16"/>
      <c r="Y69" s="16"/>
      <c r="Z69" s="16"/>
      <c r="AA69" s="16"/>
      <c r="AB69" s="16"/>
      <c r="AC69" s="16"/>
      <c r="AD69" s="16"/>
      <c r="AE69" s="16"/>
      <c r="AF69" s="16"/>
      <c r="AG69" s="16"/>
      <c r="AH69" s="16"/>
      <c r="AI69" s="16"/>
      <c r="AJ69" s="16"/>
      <c r="AK69" s="16"/>
      <c r="AL69" s="16"/>
      <c r="AM69" s="16"/>
      <c r="AN69" s="16"/>
      <c r="AO69" s="16"/>
      <c r="AP69" s="16"/>
      <c r="AQ69" s="16"/>
      <c r="AR69" s="16"/>
      <c r="AS69" s="16"/>
    </row>
    <row r="70" spans="2:45" x14ac:dyDescent="0.3">
      <c r="B70" s="41">
        <v>43952</v>
      </c>
      <c r="C70" s="34">
        <f t="shared" si="6"/>
        <v>24.857305387913733</v>
      </c>
      <c r="D70" s="34">
        <f t="shared" si="7"/>
        <v>31.092176427015669</v>
      </c>
      <c r="E70" s="35"/>
      <c r="F70" s="36">
        <v>2600</v>
      </c>
      <c r="G70" s="36">
        <v>1750</v>
      </c>
      <c r="H70" s="36">
        <v>845</v>
      </c>
      <c r="I70" s="34">
        <f t="shared" si="0"/>
        <v>11.839195979899497</v>
      </c>
      <c r="J70" s="34">
        <f t="shared" si="1"/>
        <v>0.62966601178781922</v>
      </c>
      <c r="K70" s="34">
        <f t="shared" si="2"/>
        <v>12.388443396226416</v>
      </c>
      <c r="L70" s="35"/>
      <c r="M70" s="36">
        <v>2900</v>
      </c>
      <c r="N70" s="36">
        <f>734.1/1.1302</f>
        <v>649.53105645018582</v>
      </c>
      <c r="O70" s="36">
        <f t="shared" si="8"/>
        <v>2300</v>
      </c>
      <c r="P70" s="34">
        <f t="shared" si="3"/>
        <v>28.241758241758241</v>
      </c>
      <c r="Q70" s="34">
        <f t="shared" si="4"/>
        <v>1.8474913559891366</v>
      </c>
      <c r="R70" s="34">
        <f t="shared" si="5"/>
        <v>1.0029268292682927</v>
      </c>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c r="AR70" s="16"/>
      <c r="AS70" s="16"/>
    </row>
    <row r="71" spans="2:45" x14ac:dyDescent="0.3">
      <c r="B71" s="42">
        <v>43983</v>
      </c>
      <c r="C71" s="37">
        <f t="shared" ref="C71:C72" si="9">I71+J71+K71</f>
        <v>29.669012188029892</v>
      </c>
      <c r="D71" s="37">
        <f t="shared" ref="D71:D72" si="10">P71+Q71+R71</f>
        <v>31.510086076491348</v>
      </c>
      <c r="E71" s="35"/>
      <c r="F71" s="38">
        <v>2980</v>
      </c>
      <c r="G71" s="38">
        <v>2050</v>
      </c>
      <c r="H71" s="38">
        <v>939</v>
      </c>
      <c r="I71" s="37">
        <f>(F71-244)*100/19900</f>
        <v>13.748743718592964</v>
      </c>
      <c r="J71" s="37">
        <f t="shared" ref="J71:J72" si="11">((G71-103)-365)*100/203600</f>
        <v>0.77701375245579563</v>
      </c>
      <c r="K71" s="37">
        <f>(G71-365-H71*8.5%)*100/10600</f>
        <v>15.143254716981133</v>
      </c>
      <c r="L71" s="35"/>
      <c r="M71" s="38">
        <v>2910</v>
      </c>
      <c r="N71" s="38">
        <f>747.1*0.89682</f>
        <v>670.01422200000002</v>
      </c>
      <c r="O71" s="38">
        <f t="shared" ref="O71:O72" si="12">F71-300</f>
        <v>2680</v>
      </c>
      <c r="P71" s="37">
        <f>(M71-330)*100/9100</f>
        <v>28.35164835164835</v>
      </c>
      <c r="Q71" s="37">
        <f>(N71-341)*100/16700</f>
        <v>1.9701450419161677</v>
      </c>
      <c r="R71" s="37">
        <f>(O71-244)*100/205000</f>
        <v>1.1882926829268292</v>
      </c>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c r="AR71" s="16"/>
      <c r="AS71" s="16"/>
    </row>
    <row r="72" spans="2:45" x14ac:dyDescent="0.3">
      <c r="B72" s="41">
        <v>44013</v>
      </c>
      <c r="C72" s="34">
        <f t="shared" si="9"/>
        <v>28.761243561656748</v>
      </c>
      <c r="D72" s="34">
        <f t="shared" si="10"/>
        <v>31.637191308040578</v>
      </c>
      <c r="E72" s="35"/>
      <c r="F72" s="36">
        <v>3070</v>
      </c>
      <c r="G72" s="36">
        <v>1920</v>
      </c>
      <c r="H72" s="36">
        <v>1026</v>
      </c>
      <c r="I72" s="34">
        <f t="shared" ref="I72" si="13">(F72-244)*100/19900</f>
        <v>14.201005025125628</v>
      </c>
      <c r="J72" s="34">
        <f t="shared" si="11"/>
        <v>0.71316306483300584</v>
      </c>
      <c r="K72" s="34">
        <f t="shared" ref="K72" si="14">(G72-365-H72*8.5%)*100/10600</f>
        <v>13.847075471698114</v>
      </c>
      <c r="L72" s="35"/>
      <c r="M72" s="36">
        <v>2920</v>
      </c>
      <c r="N72" s="36">
        <f>736*0.90429</f>
        <v>665.55744000000004</v>
      </c>
      <c r="O72" s="36">
        <f t="shared" si="12"/>
        <v>2770</v>
      </c>
      <c r="P72" s="34">
        <f t="shared" ref="P72" si="15">(M72-330)*100/9100</f>
        <v>28.46153846153846</v>
      </c>
      <c r="Q72" s="34">
        <f t="shared" ref="Q72" si="16">(N72-341)*100/16700</f>
        <v>1.9434577245508986</v>
      </c>
      <c r="R72" s="34">
        <f t="shared" ref="R72" si="17">(O72-244)*100/205000</f>
        <v>1.2321951219512195</v>
      </c>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c r="AR72" s="16"/>
      <c r="AS72" s="16"/>
    </row>
    <row r="73" spans="2:45" x14ac:dyDescent="0.3">
      <c r="B73" s="42">
        <v>44044</v>
      </c>
      <c r="C73" s="37">
        <f t="shared" ref="C73" si="18">I73+J73+K73</f>
        <v>28.242653860793524</v>
      </c>
      <c r="D73" s="37">
        <f t="shared" ref="D73" si="19">P73+Q73+R73</f>
        <v>31.541153919695319</v>
      </c>
      <c r="E73" s="35"/>
      <c r="F73" s="38">
        <v>3080</v>
      </c>
      <c r="G73" s="38">
        <v>1860</v>
      </c>
      <c r="H73" s="38">
        <v>992.7455218255318</v>
      </c>
      <c r="I73" s="37">
        <f t="shared" ref="I73:I79" si="20">(F73-244)*100/19900</f>
        <v>14.251256281407036</v>
      </c>
      <c r="J73" s="37">
        <f>((G73-103)-365)*100/203600</f>
        <v>0.68369351669941059</v>
      </c>
      <c r="K73" s="37">
        <f t="shared" ref="K73:K79" si="21">(G73-365-H73*8.5%)*100/10600</f>
        <v>13.307704062687076</v>
      </c>
      <c r="L73" s="35"/>
      <c r="M73" s="38">
        <v>2920</v>
      </c>
      <c r="N73" s="38">
        <f>719.4*0.90173</f>
        <v>648.70456200000001</v>
      </c>
      <c r="O73" s="38">
        <f t="shared" ref="O73" si="22">F73-300</f>
        <v>2780</v>
      </c>
      <c r="P73" s="37">
        <f t="shared" ref="P73:P79" si="23">(M73-330)*100/9100</f>
        <v>28.46153846153846</v>
      </c>
      <c r="Q73" s="37">
        <f t="shared" ref="Q73:Q79" si="24">(N73-341)*100/16700</f>
        <v>1.8425422874251498</v>
      </c>
      <c r="R73" s="37">
        <f t="shared" ref="R73:R79" si="25">(O73-244)*100/205000</f>
        <v>1.2370731707317073</v>
      </c>
      <c r="S73" s="16"/>
      <c r="T73" s="16"/>
      <c r="U73" s="16"/>
      <c r="V73" s="16"/>
      <c r="W73" s="16"/>
      <c r="X73" s="16"/>
      <c r="Y73" s="16"/>
      <c r="Z73" s="16"/>
      <c r="AA73" s="16"/>
      <c r="AB73" s="16"/>
      <c r="AC73" s="16"/>
      <c r="AD73" s="16"/>
      <c r="AE73" s="16"/>
      <c r="AF73" s="16"/>
      <c r="AG73" s="16"/>
      <c r="AH73" s="16"/>
      <c r="AI73" s="16"/>
      <c r="AJ73" s="16"/>
      <c r="AK73" s="16"/>
      <c r="AL73" s="16"/>
      <c r="AM73" s="16"/>
      <c r="AN73" s="16"/>
      <c r="AO73" s="16"/>
      <c r="AP73" s="16"/>
      <c r="AQ73" s="16"/>
      <c r="AR73" s="16"/>
      <c r="AS73" s="16"/>
    </row>
    <row r="74" spans="2:45" x14ac:dyDescent="0.3">
      <c r="B74" s="41">
        <v>44075</v>
      </c>
      <c r="C74" s="34">
        <f t="shared" ref="C74:C75" si="26">I74+J74+K74</f>
        <v>29.544585280444558</v>
      </c>
      <c r="D74" s="34">
        <f t="shared" ref="D74:D75" si="27">P74+Q74+R74</f>
        <v>31.591636557200793</v>
      </c>
      <c r="E74" s="35"/>
      <c r="F74" s="36">
        <v>3180</v>
      </c>
      <c r="G74" s="36">
        <v>1940</v>
      </c>
      <c r="H74" s="36">
        <v>986</v>
      </c>
      <c r="I74" s="34">
        <f t="shared" si="20"/>
        <v>14.753768844221106</v>
      </c>
      <c r="J74" s="34">
        <f t="shared" ref="J74:J79" si="28">((G74-103)-365)*100/203600</f>
        <v>0.72298624754420437</v>
      </c>
      <c r="K74" s="34">
        <f t="shared" si="21"/>
        <v>14.067830188679245</v>
      </c>
      <c r="L74" s="35"/>
      <c r="M74" s="36">
        <v>2920</v>
      </c>
      <c r="N74" s="36">
        <f>713.7*0.90933</f>
        <v>648.98882100000003</v>
      </c>
      <c r="O74" s="36">
        <f t="shared" ref="O74:O76" si="29">F74-300</f>
        <v>2880</v>
      </c>
      <c r="P74" s="34">
        <f t="shared" si="23"/>
        <v>28.46153846153846</v>
      </c>
      <c r="Q74" s="34">
        <f t="shared" si="24"/>
        <v>1.8442444371257487</v>
      </c>
      <c r="R74" s="34">
        <f t="shared" si="25"/>
        <v>1.2858536585365854</v>
      </c>
      <c r="S74" s="16"/>
      <c r="T74" s="16"/>
      <c r="U74" s="16"/>
      <c r="V74" s="16"/>
      <c r="W74" s="16"/>
      <c r="X74" s="16"/>
      <c r="Y74" s="16"/>
      <c r="Z74" s="16"/>
      <c r="AA74" s="16"/>
      <c r="AB74" s="16"/>
      <c r="AC74" s="16"/>
      <c r="AD74" s="16"/>
      <c r="AE74" s="16"/>
      <c r="AF74" s="16"/>
      <c r="AG74" s="16"/>
      <c r="AH74" s="16"/>
      <c r="AI74" s="16"/>
      <c r="AJ74" s="16"/>
      <c r="AK74" s="16"/>
      <c r="AL74" s="16"/>
      <c r="AM74" s="16"/>
      <c r="AN74" s="16"/>
      <c r="AO74" s="16"/>
      <c r="AP74" s="16"/>
      <c r="AQ74" s="16"/>
      <c r="AR74" s="16"/>
      <c r="AS74" s="16"/>
    </row>
    <row r="75" spans="2:45" x14ac:dyDescent="0.3">
      <c r="B75" s="42">
        <v>44105</v>
      </c>
      <c r="C75" s="37">
        <f t="shared" si="26"/>
        <v>29.748603979231888</v>
      </c>
      <c r="D75" s="37">
        <f t="shared" si="27"/>
        <v>31.637231541719562</v>
      </c>
      <c r="E75" s="35"/>
      <c r="F75" s="38">
        <v>3140</v>
      </c>
      <c r="G75" s="38">
        <v>1980</v>
      </c>
      <c r="H75" s="38">
        <v>976</v>
      </c>
      <c r="I75" s="37">
        <f t="shared" si="20"/>
        <v>14.552763819095478</v>
      </c>
      <c r="J75" s="37">
        <f t="shared" si="28"/>
        <v>0.74263261296660121</v>
      </c>
      <c r="K75" s="37">
        <f t="shared" si="21"/>
        <v>14.453207547169811</v>
      </c>
      <c r="L75" s="35"/>
      <c r="M75" s="38">
        <v>2920</v>
      </c>
      <c r="N75" s="38">
        <f>726.8*0.9079</f>
        <v>659.86171999999999</v>
      </c>
      <c r="O75" s="38">
        <f t="shared" si="29"/>
        <v>2840</v>
      </c>
      <c r="P75" s="37">
        <f t="shared" si="23"/>
        <v>28.46153846153846</v>
      </c>
      <c r="Q75" s="37">
        <f t="shared" si="24"/>
        <v>1.909351616766467</v>
      </c>
      <c r="R75" s="37">
        <f t="shared" si="25"/>
        <v>1.2663414634146342</v>
      </c>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c r="AR75" s="16"/>
      <c r="AS75" s="16"/>
    </row>
    <row r="76" spans="2:45" x14ac:dyDescent="0.3">
      <c r="B76" s="41">
        <v>44136</v>
      </c>
      <c r="C76" s="34">
        <f t="shared" ref="C76:C77" si="30">I76+J76+K76</f>
        <v>29.149160999421991</v>
      </c>
      <c r="D76" s="34">
        <f t="shared" ref="D76" si="31">P76+Q76+R76</f>
        <v>31.554952336228105</v>
      </c>
      <c r="E76" s="35"/>
      <c r="F76" s="36">
        <v>3050</v>
      </c>
      <c r="G76" s="36">
        <v>1960</v>
      </c>
      <c r="H76" s="36">
        <v>912</v>
      </c>
      <c r="I76" s="34">
        <f t="shared" si="20"/>
        <v>14.100502512562814</v>
      </c>
      <c r="J76" s="34">
        <f t="shared" si="28"/>
        <v>0.73280943025540279</v>
      </c>
      <c r="K76" s="34">
        <f t="shared" si="21"/>
        <v>14.315849056603774</v>
      </c>
      <c r="L76" s="35"/>
      <c r="M76" s="36">
        <v>2920</v>
      </c>
      <c r="N76" s="36">
        <f>729.3*0.896</f>
        <v>653.45280000000002</v>
      </c>
      <c r="O76" s="36">
        <f t="shared" si="29"/>
        <v>2750</v>
      </c>
      <c r="P76" s="34">
        <f t="shared" si="23"/>
        <v>28.46153846153846</v>
      </c>
      <c r="Q76" s="34">
        <f t="shared" si="24"/>
        <v>1.8709748502994012</v>
      </c>
      <c r="R76" s="34">
        <f t="shared" si="25"/>
        <v>1.2224390243902439</v>
      </c>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c r="AR76" s="16"/>
      <c r="AS76" s="16"/>
    </row>
    <row r="77" spans="2:45" x14ac:dyDescent="0.3">
      <c r="B77" s="42">
        <v>44166</v>
      </c>
      <c r="C77" s="37">
        <f t="shared" si="30"/>
        <v>29.048730838667346</v>
      </c>
      <c r="D77" s="37">
        <f>P77+Q77+R77</f>
        <v>31.938908244187306</v>
      </c>
      <c r="E77" s="35"/>
      <c r="F77" s="38">
        <v>3000</v>
      </c>
      <c r="G77" s="38">
        <v>1970</v>
      </c>
      <c r="H77" s="38">
        <v>847.68305758282122</v>
      </c>
      <c r="I77" s="37">
        <f t="shared" si="20"/>
        <v>13.849246231155778</v>
      </c>
      <c r="J77" s="37">
        <f t="shared" si="28"/>
        <v>0.73772102161100195</v>
      </c>
      <c r="K77" s="37">
        <f t="shared" si="21"/>
        <v>14.461763585900568</v>
      </c>
      <c r="L77" s="35"/>
      <c r="M77" s="38">
        <v>2940</v>
      </c>
      <c r="N77" s="38">
        <f>755.15/1.1025</f>
        <v>684.94331065759638</v>
      </c>
      <c r="O77" s="38">
        <f t="shared" ref="O77:O84" si="32">F77-300</f>
        <v>2700</v>
      </c>
      <c r="P77" s="37">
        <f t="shared" si="23"/>
        <v>28.681318681318682</v>
      </c>
      <c r="Q77" s="37">
        <f t="shared" si="24"/>
        <v>2.0595407823808167</v>
      </c>
      <c r="R77" s="37">
        <f t="shared" si="25"/>
        <v>1.1980487804878048</v>
      </c>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c r="AR77" s="16"/>
      <c r="AS77" s="16"/>
    </row>
    <row r="78" spans="2:45" x14ac:dyDescent="0.3">
      <c r="B78" s="41">
        <v>44197</v>
      </c>
      <c r="C78" s="34">
        <f t="shared" ref="C78:C79" si="33">I78+J78+K78</f>
        <v>30.095637397052336</v>
      </c>
      <c r="D78" s="34">
        <f t="shared" ref="D78" si="34">P78+Q78+R78</f>
        <v>32.070119584682338</v>
      </c>
      <c r="E78" s="35"/>
      <c r="F78" s="36">
        <v>3060</v>
      </c>
      <c r="G78" s="36">
        <v>2040</v>
      </c>
      <c r="H78" s="36">
        <v>784.5313469007184</v>
      </c>
      <c r="I78" s="34">
        <f t="shared" si="20"/>
        <v>14.150753768844222</v>
      </c>
      <c r="J78" s="34">
        <f t="shared" si="28"/>
        <v>0.77210216110019647</v>
      </c>
      <c r="K78" s="34">
        <f t="shared" si="21"/>
        <v>15.172781467107916</v>
      </c>
      <c r="L78" s="35"/>
      <c r="M78" s="36">
        <v>2940</v>
      </c>
      <c r="N78" s="36">
        <f>784.8/1.118</f>
        <v>701.9677996422181</v>
      </c>
      <c r="O78" s="36">
        <f t="shared" si="32"/>
        <v>2760</v>
      </c>
      <c r="P78" s="34">
        <f t="shared" si="23"/>
        <v>28.681318681318682</v>
      </c>
      <c r="Q78" s="34">
        <f t="shared" si="24"/>
        <v>2.1614838301929229</v>
      </c>
      <c r="R78" s="34">
        <f t="shared" si="25"/>
        <v>1.2273170731707317</v>
      </c>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c r="AR78" s="16"/>
      <c r="AS78" s="16"/>
    </row>
    <row r="79" spans="2:45" x14ac:dyDescent="0.3">
      <c r="B79" s="42">
        <v>44228</v>
      </c>
      <c r="C79" s="37">
        <f t="shared" si="33"/>
        <v>30.846460647980006</v>
      </c>
      <c r="D79" s="37">
        <f>P79+Q79+R79</f>
        <v>32.469614414805065</v>
      </c>
      <c r="E79" s="35"/>
      <c r="F79" s="38">
        <v>3150</v>
      </c>
      <c r="G79" s="38">
        <v>2070</v>
      </c>
      <c r="H79" s="38">
        <v>783.5233462561215</v>
      </c>
      <c r="I79" s="37">
        <f t="shared" si="20"/>
        <v>14.603015075376884</v>
      </c>
      <c r="J79" s="37">
        <f t="shared" si="28"/>
        <v>0.78683693516699416</v>
      </c>
      <c r="K79" s="37">
        <f t="shared" si="21"/>
        <v>15.456608637436128</v>
      </c>
      <c r="L79" s="35"/>
      <c r="M79" s="38">
        <v>2940</v>
      </c>
      <c r="N79" s="38">
        <f>871.9/1.1452</f>
        <v>761.35172895564097</v>
      </c>
      <c r="O79" s="38">
        <f t="shared" si="32"/>
        <v>2850</v>
      </c>
      <c r="P79" s="37">
        <f t="shared" si="23"/>
        <v>28.681318681318682</v>
      </c>
      <c r="Q79" s="37">
        <f t="shared" si="24"/>
        <v>2.517076221291263</v>
      </c>
      <c r="R79" s="37">
        <f t="shared" si="25"/>
        <v>1.271219512195122</v>
      </c>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row>
    <row r="80" spans="2:45" x14ac:dyDescent="0.3">
      <c r="B80" s="41">
        <v>44256</v>
      </c>
      <c r="C80" s="34">
        <f t="shared" ref="C80:C81" si="35">I80+J80+K80</f>
        <v>32.544882710527844</v>
      </c>
      <c r="D80" s="34">
        <f t="shared" ref="D80" si="36">P80+Q80+R80</f>
        <v>32.959272863667572</v>
      </c>
      <c r="E80" s="35"/>
      <c r="F80" s="36">
        <v>3430</v>
      </c>
      <c r="G80" s="36">
        <v>2100</v>
      </c>
      <c r="H80" s="36">
        <v>791.46306465878047</v>
      </c>
      <c r="I80" s="34">
        <f t="shared" ref="I80:I81" si="37">(F80-244)*100/19900</f>
        <v>16.010050251256281</v>
      </c>
      <c r="J80" s="34">
        <f t="shared" ref="J80:J81" si="38">((G80-103)-365)*100/203600</f>
        <v>0.80157170923379173</v>
      </c>
      <c r="K80" s="34">
        <f t="shared" ref="K80:K81" si="39">(G80-365-H80*8.5%)*100/10600</f>
        <v>15.73326075003777</v>
      </c>
      <c r="L80" s="35"/>
      <c r="M80" s="36">
        <v>2960</v>
      </c>
      <c r="N80" s="36">
        <f>910.4/1.1618</f>
        <v>783.61163711482186</v>
      </c>
      <c r="O80" s="36">
        <f t="shared" si="32"/>
        <v>3130</v>
      </c>
      <c r="P80" s="34">
        <f t="shared" ref="P80:P81" si="40">(M80-330)*100/9100</f>
        <v>28.901098901098901</v>
      </c>
      <c r="Q80" s="34">
        <f t="shared" ref="Q80:Q81" si="41">(N80-341)*100/16700</f>
        <v>2.6503690845198915</v>
      </c>
      <c r="R80" s="34">
        <f t="shared" ref="R80:R81" si="42">(O80-244)*100/205000</f>
        <v>1.4078048780487804</v>
      </c>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row>
    <row r="81" spans="1:45" x14ac:dyDescent="0.3">
      <c r="B81" s="42">
        <v>44287</v>
      </c>
      <c r="C81" s="37">
        <f t="shared" si="35"/>
        <v>33.108931375655743</v>
      </c>
      <c r="D81" s="37">
        <f>P81+Q81+R81</f>
        <v>33.467832388933111</v>
      </c>
      <c r="E81" s="35"/>
      <c r="F81" s="38">
        <v>3450</v>
      </c>
      <c r="G81" s="38">
        <v>2150</v>
      </c>
      <c r="H81" s="38">
        <v>832.25425579488706</v>
      </c>
      <c r="I81" s="37">
        <f t="shared" si="37"/>
        <v>16.110552763819097</v>
      </c>
      <c r="J81" s="37">
        <f t="shared" si="38"/>
        <v>0.82612966601178783</v>
      </c>
      <c r="K81" s="37">
        <f t="shared" si="39"/>
        <v>16.172248945824855</v>
      </c>
      <c r="L81" s="35"/>
      <c r="M81" s="38">
        <v>2980</v>
      </c>
      <c r="N81" s="38">
        <f>963.54/1.1606</f>
        <v>830.20851283818706</v>
      </c>
      <c r="O81" s="38">
        <f t="shared" si="32"/>
        <v>3150</v>
      </c>
      <c r="P81" s="37">
        <f t="shared" si="40"/>
        <v>29.12087912087912</v>
      </c>
      <c r="Q81" s="37">
        <f t="shared" si="41"/>
        <v>2.9293922924442342</v>
      </c>
      <c r="R81" s="37">
        <f t="shared" si="42"/>
        <v>1.417560975609756</v>
      </c>
      <c r="S81" s="16"/>
      <c r="T81" s="16"/>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row>
    <row r="82" spans="1:45" x14ac:dyDescent="0.3">
      <c r="B82" s="41">
        <v>44317</v>
      </c>
      <c r="C82" s="34">
        <f t="shared" ref="C82:C83" si="43">I82+J82+K82</f>
        <v>33.203517277556983</v>
      </c>
      <c r="D82" s="34">
        <f t="shared" ref="D82" si="44">P82+Q82+R82</f>
        <v>33.609515332920175</v>
      </c>
      <c r="E82" s="35"/>
      <c r="F82" s="36">
        <v>3350</v>
      </c>
      <c r="G82" s="36">
        <v>2210</v>
      </c>
      <c r="H82" s="36">
        <v>830.26995982239293</v>
      </c>
      <c r="I82" s="34">
        <f t="shared" ref="I82:I84" si="45">(F82-244)*100/19900</f>
        <v>15.608040201005025</v>
      </c>
      <c r="J82" s="34">
        <f t="shared" ref="J82:J84" si="46">((G82-103)-365)*100/203600</f>
        <v>0.85559921414538309</v>
      </c>
      <c r="K82" s="34">
        <f t="shared" ref="K82:K84" si="47">(G82-365-H82*8.5%)*100/10600</f>
        <v>16.739877862406573</v>
      </c>
      <c r="L82" s="35"/>
      <c r="M82" s="36">
        <v>2980</v>
      </c>
      <c r="N82" s="36">
        <f>997.18/1.1568</f>
        <v>862.01590594744118</v>
      </c>
      <c r="O82" s="36">
        <f t="shared" si="32"/>
        <v>3050</v>
      </c>
      <c r="P82" s="34">
        <f t="shared" ref="P82:P84" si="48">(M82-330)*100/9100</f>
        <v>29.12087912087912</v>
      </c>
      <c r="Q82" s="34">
        <f t="shared" ref="Q82:Q83" si="49">(N82-341)*100/16700</f>
        <v>3.1198557242361749</v>
      </c>
      <c r="R82" s="34">
        <f t="shared" ref="R82:R83" si="50">(O82-244)*100/205000</f>
        <v>1.3687804878048782</v>
      </c>
      <c r="S82" s="16"/>
      <c r="T82" s="16"/>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row>
    <row r="83" spans="1:45" x14ac:dyDescent="0.3">
      <c r="A83" s="35"/>
      <c r="B83" s="42">
        <v>44348</v>
      </c>
      <c r="C83" s="37">
        <f t="shared" si="43"/>
        <v>32.464124769243682</v>
      </c>
      <c r="D83" s="37">
        <f>P83+Q83+R83</f>
        <v>33.620309088638329</v>
      </c>
      <c r="E83" s="35"/>
      <c r="F83" s="38">
        <v>3320</v>
      </c>
      <c r="G83" s="38">
        <v>2150</v>
      </c>
      <c r="H83" s="38">
        <v>821.70448078193613</v>
      </c>
      <c r="I83" s="37">
        <f t="shared" si="45"/>
        <v>15.457286432160805</v>
      </c>
      <c r="J83" s="37">
        <f t="shared" si="46"/>
        <v>0.82612966601178783</v>
      </c>
      <c r="K83" s="37">
        <f t="shared" si="47"/>
        <v>16.180708671071088</v>
      </c>
      <c r="L83" s="35"/>
      <c r="M83" s="38">
        <v>2980</v>
      </c>
      <c r="N83" s="38">
        <f>1007.03/1.1625</f>
        <v>866.26236559139772</v>
      </c>
      <c r="O83" s="38">
        <f t="shared" si="32"/>
        <v>3020</v>
      </c>
      <c r="P83" s="37">
        <f t="shared" si="48"/>
        <v>29.12087912087912</v>
      </c>
      <c r="Q83" s="37">
        <f t="shared" si="49"/>
        <v>3.1452836262957948</v>
      </c>
      <c r="R83" s="37">
        <f t="shared" si="50"/>
        <v>1.3541463414634147</v>
      </c>
      <c r="S83" s="16"/>
      <c r="T83" s="16"/>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row>
    <row r="84" spans="1:45" x14ac:dyDescent="0.3">
      <c r="A84" s="35"/>
      <c r="B84" s="41">
        <v>44378</v>
      </c>
      <c r="C84" s="34">
        <f t="shared" ref="C84:C88" si="51">I84+J84+K84</f>
        <v>31.592276402886366</v>
      </c>
      <c r="D84" s="34">
        <f t="shared" ref="D84" si="52">P84+Q84+R84</f>
        <v>33.426200769061225</v>
      </c>
      <c r="E84" s="35"/>
      <c r="F84" s="36">
        <v>3230</v>
      </c>
      <c r="G84" s="36">
        <v>2110</v>
      </c>
      <c r="H84" s="36">
        <v>849.8658173306319</v>
      </c>
      <c r="I84" s="34">
        <f t="shared" si="45"/>
        <v>15.005025125628141</v>
      </c>
      <c r="J84" s="34">
        <f t="shared" si="46"/>
        <v>0.80648330058939099</v>
      </c>
      <c r="K84" s="34">
        <f t="shared" si="47"/>
        <v>15.780767976668834</v>
      </c>
      <c r="L84" s="35"/>
      <c r="M84" s="36">
        <v>2980</v>
      </c>
      <c r="N84" s="36">
        <f>981.15/1.1664</f>
        <v>841.17798353909461</v>
      </c>
      <c r="O84" s="36">
        <f t="shared" si="32"/>
        <v>2930</v>
      </c>
      <c r="P84" s="34">
        <f t="shared" si="48"/>
        <v>29.12087912087912</v>
      </c>
      <c r="Q84" s="34">
        <f t="shared" ref="Q84:Q87" si="53">(N84-341)*100/16700</f>
        <v>2.9950777457430817</v>
      </c>
      <c r="R84" s="34">
        <f t="shared" ref="R84:R87" si="54">(O84-244)*100/205000</f>
        <v>1.3102439024390244</v>
      </c>
      <c r="S84" s="16"/>
      <c r="T84" s="16"/>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row>
    <row r="85" spans="1:45" x14ac:dyDescent="0.3">
      <c r="A85" s="35"/>
      <c r="B85" s="42">
        <v>44409</v>
      </c>
      <c r="C85" s="37">
        <f t="shared" si="51"/>
        <v>32.097709258926962</v>
      </c>
      <c r="D85" s="37">
        <f>P85+Q85+R85</f>
        <v>33.455540600138526</v>
      </c>
      <c r="E85" s="35"/>
      <c r="F85" s="38">
        <v>3290</v>
      </c>
      <c r="G85" s="38">
        <v>2130</v>
      </c>
      <c r="H85" s="38">
        <v>843.10315406073209</v>
      </c>
      <c r="I85" s="37">
        <f t="shared" ref="I85:I87" si="55">(F85-244)*100/19900</f>
        <v>15.306532663316583</v>
      </c>
      <c r="J85" s="37">
        <f t="shared" ref="J85:J87" si="56">((G85-103)-365)*100/203600</f>
        <v>0.81630648330058941</v>
      </c>
      <c r="K85" s="37">
        <f t="shared" ref="K85:K87" si="57">(G85-365-H85*8.5%)*100/10600</f>
        <v>15.974870112309791</v>
      </c>
      <c r="L85" s="35"/>
      <c r="M85" s="38">
        <v>3000</v>
      </c>
      <c r="N85" s="38">
        <f>944.95/1.1746</f>
        <v>804.48663374765874</v>
      </c>
      <c r="O85" s="38">
        <f t="shared" ref="O85:O88" si="58">F85-300</f>
        <v>2990</v>
      </c>
      <c r="P85" s="37">
        <f t="shared" ref="P85:P87" si="59">(M85-330)*100/9100</f>
        <v>29.340659340659339</v>
      </c>
      <c r="Q85" s="37">
        <f t="shared" si="53"/>
        <v>2.7753690643572382</v>
      </c>
      <c r="R85" s="37">
        <f t="shared" si="54"/>
        <v>1.3395121951219513</v>
      </c>
      <c r="S85" s="16"/>
      <c r="T85" s="16"/>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row>
    <row r="86" spans="1:45" x14ac:dyDescent="0.3">
      <c r="A86" s="35"/>
      <c r="B86" s="41">
        <v>44440</v>
      </c>
      <c r="C86" s="34">
        <f t="shared" ref="C86" si="60">I86+J86+K86</f>
        <v>33.853443229842831</v>
      </c>
      <c r="D86" s="34">
        <f t="shared" ref="D86" si="61">P86+Q86+R86</f>
        <v>34.427595184205231</v>
      </c>
      <c r="E86" s="35"/>
      <c r="F86" s="36">
        <v>3440</v>
      </c>
      <c r="G86" s="36">
        <v>2230</v>
      </c>
      <c r="H86" s="36">
        <v>831.31472355826077</v>
      </c>
      <c r="I86" s="34">
        <f t="shared" si="55"/>
        <v>16.060301507537687</v>
      </c>
      <c r="J86" s="34">
        <f t="shared" si="56"/>
        <v>0.86542239685658151</v>
      </c>
      <c r="K86" s="34">
        <f t="shared" si="57"/>
        <v>16.927719325448564</v>
      </c>
      <c r="L86" s="35"/>
      <c r="M86" s="36">
        <v>3070</v>
      </c>
      <c r="N86" s="36">
        <f>964.93/1.168</f>
        <v>826.13869863013701</v>
      </c>
      <c r="O86" s="36">
        <f t="shared" si="58"/>
        <v>3140</v>
      </c>
      <c r="P86" s="34">
        <f t="shared" si="59"/>
        <v>30.109890109890109</v>
      </c>
      <c r="Q86" s="34">
        <f t="shared" si="53"/>
        <v>2.9050221474858504</v>
      </c>
      <c r="R86" s="34">
        <f t="shared" si="54"/>
        <v>1.4126829268292682</v>
      </c>
      <c r="S86" s="16"/>
      <c r="T86" s="16"/>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row>
    <row r="87" spans="1:45" x14ac:dyDescent="0.3">
      <c r="A87" s="35"/>
      <c r="B87" s="42">
        <v>44470</v>
      </c>
      <c r="C87" s="37">
        <f t="shared" si="51"/>
        <v>36.569184418310556</v>
      </c>
      <c r="D87" s="37">
        <f>P87+Q87+R87</f>
        <v>36.560061761074095</v>
      </c>
      <c r="E87" s="35"/>
      <c r="F87" s="38">
        <v>3780</v>
      </c>
      <c r="G87" s="38">
        <v>2330</v>
      </c>
      <c r="H87" s="38">
        <v>813</v>
      </c>
      <c r="I87" s="37">
        <f t="shared" si="55"/>
        <v>17.768844221105528</v>
      </c>
      <c r="J87" s="37">
        <f t="shared" si="56"/>
        <v>0.91453831041257372</v>
      </c>
      <c r="K87" s="37">
        <f t="shared" si="57"/>
        <v>17.885801886792454</v>
      </c>
      <c r="L87" s="35"/>
      <c r="M87" s="38">
        <v>3240</v>
      </c>
      <c r="N87" s="38">
        <f>990.88/1.176</f>
        <v>842.58503401360554</v>
      </c>
      <c r="O87" s="38">
        <f t="shared" si="58"/>
        <v>3480</v>
      </c>
      <c r="P87" s="37">
        <f t="shared" si="59"/>
        <v>31.978021978021978</v>
      </c>
      <c r="Q87" s="37">
        <f t="shared" si="53"/>
        <v>3.003503197686261</v>
      </c>
      <c r="R87" s="37">
        <f t="shared" si="54"/>
        <v>1.5785365853658537</v>
      </c>
      <c r="S87" s="16"/>
      <c r="T87" s="16"/>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row>
    <row r="88" spans="1:45" x14ac:dyDescent="0.3">
      <c r="A88" s="35"/>
      <c r="B88" s="41">
        <v>44501</v>
      </c>
      <c r="C88" s="34">
        <f t="shared" si="51"/>
        <v>42.282226604914911</v>
      </c>
      <c r="D88" s="34">
        <f t="shared" ref="D88" si="62">P88+Q88+R88</f>
        <v>39.218619112234485</v>
      </c>
      <c r="E88" s="35"/>
      <c r="F88" s="36">
        <v>4380</v>
      </c>
      <c r="G88" s="36">
        <v>2600</v>
      </c>
      <c r="H88" s="36">
        <v>790.32344269895748</v>
      </c>
      <c r="I88" s="34">
        <f>(F88-'Processing costs'!C88)*100/19900</f>
        <v>20.78391959798995</v>
      </c>
      <c r="J88" s="34">
        <f>((G88-103)-'Processing costs'!E88)*100/203600</f>
        <v>1.0471512770137525</v>
      </c>
      <c r="K88" s="34">
        <f>(G88-'Processing costs'!D88-H88*8.5%)*100/10600</f>
        <v>20.451155729911211</v>
      </c>
      <c r="L88" s="35"/>
      <c r="M88" s="36">
        <v>3440</v>
      </c>
      <c r="N88" s="36">
        <f>1026.5/1.179</f>
        <v>870.65309584393549</v>
      </c>
      <c r="O88" s="36">
        <f t="shared" si="58"/>
        <v>4080</v>
      </c>
      <c r="P88" s="34">
        <f>(M88-'Processing costs'!G88)*100/9100</f>
        <v>34.175824175824175</v>
      </c>
      <c r="Q88" s="34">
        <f>(N88-'Processing costs'!H88)*100/16700</f>
        <v>3.1715754242151828</v>
      </c>
      <c r="R88" s="34">
        <f>(O88-'Processing costs'!I88)*100/205000</f>
        <v>1.8712195121951221</v>
      </c>
      <c r="S88" s="16"/>
      <c r="T88" s="16"/>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row>
    <row r="89" spans="1:45" x14ac:dyDescent="0.3">
      <c r="A89" s="35" t="s">
        <v>53</v>
      </c>
      <c r="B89" s="42">
        <v>44531</v>
      </c>
      <c r="C89" s="37">
        <f t="shared" ref="C89" si="63">I89+J89+K89</f>
        <v>44.703392658750154</v>
      </c>
      <c r="D89" s="37">
        <f t="shared" ref="D89:D90" si="64">P89+Q89+R89</f>
        <v>40.983469729060694</v>
      </c>
      <c r="E89" s="35"/>
      <c r="F89" s="38">
        <v>4660</v>
      </c>
      <c r="G89" s="38">
        <v>2750</v>
      </c>
      <c r="H89" s="38">
        <v>792.51212092696028</v>
      </c>
      <c r="I89" s="37">
        <f>(F89-'Processing costs'!C89)*100/19900</f>
        <v>22.075376884422109</v>
      </c>
      <c r="J89" s="37">
        <f>((G89-103)-'Processing costs'!E89)*100/203600</f>
        <v>1.1031434184675835</v>
      </c>
      <c r="K89" s="37">
        <f>(G89-'Processing costs'!D89-H89*8.5%)*100/10600</f>
        <v>21.52487235586046</v>
      </c>
      <c r="L89" s="35"/>
      <c r="M89" s="38">
        <v>3600</v>
      </c>
      <c r="N89" s="38">
        <f>1099.23/1.1777</f>
        <v>933.37012821601434</v>
      </c>
      <c r="O89" s="38">
        <f t="shared" ref="O89:O91" si="65">F89-300</f>
        <v>4360</v>
      </c>
      <c r="P89" s="37">
        <f>(M89-'Processing costs'!G89)*100/9100</f>
        <v>35.637362637362635</v>
      </c>
      <c r="Q89" s="37">
        <f>(N89-'Processing costs'!H89)*100/16700</f>
        <v>3.3495217258443972</v>
      </c>
      <c r="R89" s="37">
        <f>(O89-'Processing costs'!I89)*100/205000</f>
        <v>1.9965853658536585</v>
      </c>
      <c r="S89" s="16"/>
      <c r="T89" s="16"/>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row>
    <row r="90" spans="1:45" x14ac:dyDescent="0.3">
      <c r="A90" s="35"/>
      <c r="B90" s="41">
        <v>44562</v>
      </c>
      <c r="C90" s="34">
        <f>I90+J90+K90</f>
        <v>47.312971284830951</v>
      </c>
      <c r="D90" s="34">
        <f t="shared" si="64"/>
        <v>43.12206370095663</v>
      </c>
      <c r="E90" s="35"/>
      <c r="F90" s="36">
        <v>4860</v>
      </c>
      <c r="G90" s="36">
        <v>2910</v>
      </c>
      <c r="H90" s="36">
        <v>771.89315494006246</v>
      </c>
      <c r="I90" s="34">
        <f>(F90-'Processing costs'!C90)*100/19900</f>
        <v>23.08040201005025</v>
      </c>
      <c r="J90" s="34">
        <f>((G90-103)-'Processing costs'!E90)*100/203600</f>
        <v>1.1817288801571708</v>
      </c>
      <c r="K90" s="34">
        <f>(G90-'Processing costs'!D90-H90*8.5%)*100/10600</f>
        <v>23.050840394623535</v>
      </c>
      <c r="L90" s="35"/>
      <c r="M90" s="36">
        <v>3760</v>
      </c>
      <c r="N90" s="36">
        <f>1170.93/1.1941</f>
        <v>980.59626496943315</v>
      </c>
      <c r="O90" s="36">
        <f t="shared" si="65"/>
        <v>4560</v>
      </c>
      <c r="P90" s="34">
        <f>(M90-'Processing costs'!G90)*100/9100</f>
        <v>37.395604395604394</v>
      </c>
      <c r="Q90" s="34">
        <f>(N90-'Processing costs'!H90)*100/16700</f>
        <v>3.6323129638888214</v>
      </c>
      <c r="R90" s="34">
        <f>(O90-'Processing costs'!I90)*100/205000</f>
        <v>2.0941463414634147</v>
      </c>
      <c r="S90" s="16"/>
      <c r="T90" s="16"/>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row>
    <row r="91" spans="1:45" x14ac:dyDescent="0.3">
      <c r="A91" s="35"/>
      <c r="B91" s="42">
        <v>44593</v>
      </c>
      <c r="C91" s="37">
        <f t="shared" ref="C91" si="66">I91+J91+K91</f>
        <v>48.856532642515788</v>
      </c>
      <c r="D91" s="37">
        <f t="shared" ref="D91:D92" si="67">P91+Q91+R91</f>
        <v>45.813163220043286</v>
      </c>
      <c r="E91" s="35"/>
      <c r="F91" s="38">
        <v>4930</v>
      </c>
      <c r="G91" s="38">
        <v>3030</v>
      </c>
      <c r="H91" s="38">
        <v>770.91047788752655</v>
      </c>
      <c r="I91" s="37">
        <f>(F91-'Processing costs'!C91)*100/19900</f>
        <v>23.4321608040201</v>
      </c>
      <c r="J91" s="37">
        <f>((G91-103)-'Processing costs'!E91)*100/203600</f>
        <v>1.2406679764243616</v>
      </c>
      <c r="K91" s="37">
        <f>(G91-'Processing costs'!D91-H91*8.5%)*100/10600</f>
        <v>24.183703862071322</v>
      </c>
      <c r="L91" s="35"/>
      <c r="M91" s="38">
        <v>3960</v>
      </c>
      <c r="N91" s="38">
        <f>1262.28/1.1939</f>
        <v>1057.2744785995478</v>
      </c>
      <c r="O91" s="38">
        <f t="shared" si="65"/>
        <v>4630</v>
      </c>
      <c r="P91" s="37">
        <f>(M91-'Processing costs'!G91)*100/9100</f>
        <v>39.593406593406591</v>
      </c>
      <c r="Q91" s="37">
        <f>(N91-'Processing costs'!H91)*100/16700</f>
        <v>4.0914639437098677</v>
      </c>
      <c r="R91" s="37">
        <f>(O91-'Processing costs'!I91)*100/205000</f>
        <v>2.1282926829268294</v>
      </c>
      <c r="S91" s="16"/>
      <c r="T91" s="16"/>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row>
    <row r="92" spans="1:45" x14ac:dyDescent="0.3">
      <c r="A92" s="35"/>
      <c r="B92" s="41">
        <v>44621</v>
      </c>
      <c r="C92" s="34">
        <f>I92+J92+K92</f>
        <v>54.478438413681843</v>
      </c>
      <c r="D92" s="34">
        <f t="shared" si="67"/>
        <v>49.947518389966262</v>
      </c>
      <c r="E92" s="35"/>
      <c r="F92" s="36">
        <v>5460</v>
      </c>
      <c r="G92" s="36">
        <v>3330</v>
      </c>
      <c r="H92" s="36">
        <v>794.53879031280007</v>
      </c>
      <c r="I92" s="34">
        <f>(F92-'Processing costs'!C92)*100/19900</f>
        <v>26.095477386934672</v>
      </c>
      <c r="J92" s="34">
        <f>((G92-103)-'Processing costs'!E92)*100/203600</f>
        <v>1.388015717092338</v>
      </c>
      <c r="K92" s="34">
        <f>(G92-'Processing costs'!D92-H92*8.5%)*100/10600</f>
        <v>26.994945309654831</v>
      </c>
      <c r="L92" s="35"/>
      <c r="M92" s="36">
        <v>4280</v>
      </c>
      <c r="N92" s="36">
        <f>1337.5/1.1971</f>
        <v>1117.283434967839</v>
      </c>
      <c r="O92" s="36">
        <f t="shared" ref="O92:O94" si="68">F92-300</f>
        <v>5160</v>
      </c>
      <c r="P92" s="34">
        <f>(M92-'Processing costs'!G92)*100/9100</f>
        <v>43.109890109890109</v>
      </c>
      <c r="Q92" s="34">
        <f>(N92-'Processing costs'!H92)*100/16700</f>
        <v>4.4507990117834666</v>
      </c>
      <c r="R92" s="34">
        <f>(O92-'Processing costs'!I92)*100/205000</f>
        <v>2.3868292682926828</v>
      </c>
      <c r="S92" s="16"/>
      <c r="T92" s="16"/>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row>
    <row r="93" spans="1:45" x14ac:dyDescent="0.3">
      <c r="A93" s="35" t="s">
        <v>53</v>
      </c>
      <c r="B93" s="42">
        <v>44652</v>
      </c>
      <c r="C93" s="37">
        <f t="shared" ref="C93" si="69">I93+J93+K93</f>
        <v>56.324652520598292</v>
      </c>
      <c r="D93" s="37">
        <f t="shared" ref="D93:D94" si="70">P93+Q93+R93</f>
        <v>51.976834340923993</v>
      </c>
      <c r="E93" s="35"/>
      <c r="F93" s="38">
        <v>5890</v>
      </c>
      <c r="G93" s="38">
        <v>3430</v>
      </c>
      <c r="H93" s="38">
        <v>831.21360678630697</v>
      </c>
      <c r="I93" s="37">
        <f>(F93-'Processing costs'!C93)*100/19900</f>
        <v>28.070351758793969</v>
      </c>
      <c r="J93" s="37">
        <f>((G93-103)-'Processing costs'!E93)*100/203600</f>
        <v>1.3831041257367387</v>
      </c>
      <c r="K93" s="37">
        <f>(G93-'Processing costs'!D93-H93*8.5%)*100/10600</f>
        <v>26.871196636067587</v>
      </c>
      <c r="L93" s="35"/>
      <c r="M93" s="38">
        <v>4520</v>
      </c>
      <c r="N93" s="38">
        <f>1425.6/1.1955</f>
        <v>1192.4717691342535</v>
      </c>
      <c r="O93" s="38">
        <f t="shared" si="68"/>
        <v>5590</v>
      </c>
      <c r="P93" s="37">
        <f>(M93-'Processing costs'!G93)*100/9100</f>
        <v>45.263736263736263</v>
      </c>
      <c r="Q93" s="37">
        <f>(N93-'Processing costs'!H93)*100/16700</f>
        <v>4.1345614918218763</v>
      </c>
      <c r="R93" s="37">
        <f>(O93-'Processing costs'!I93)*100/205000</f>
        <v>2.5785365853658537</v>
      </c>
      <c r="S93" s="16"/>
      <c r="T93" s="16"/>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row>
    <row r="94" spans="1:45" x14ac:dyDescent="0.3">
      <c r="A94" s="35"/>
      <c r="B94" s="41">
        <v>44682</v>
      </c>
      <c r="C94" s="34">
        <f>I94+J94+K94</f>
        <v>55.095014539711784</v>
      </c>
      <c r="D94" s="34">
        <f t="shared" si="70"/>
        <v>53.144388735429217</v>
      </c>
      <c r="E94" s="35"/>
      <c r="F94" s="36">
        <v>5890</v>
      </c>
      <c r="G94" s="36">
        <v>3310</v>
      </c>
      <c r="H94" s="36">
        <v>879.3792746645164</v>
      </c>
      <c r="I94" s="34">
        <f>(F94-'Processing costs'!C94)*100/19900</f>
        <v>28.070351758793969</v>
      </c>
      <c r="J94" s="34">
        <f>((G94-103)-'Processing costs'!E94)*100/203600</f>
        <v>1.3241650294695482</v>
      </c>
      <c r="K94" s="34">
        <f>(G94-'Processing costs'!D94-H94*8.5%)*100/10600</f>
        <v>25.700497751448268</v>
      </c>
      <c r="L94" s="35"/>
      <c r="M94" s="36">
        <v>4650</v>
      </c>
      <c r="N94" s="36">
        <f>1356.37/1.1806</f>
        <v>1148.8819244451972</v>
      </c>
      <c r="O94" s="36">
        <f t="shared" si="68"/>
        <v>5590</v>
      </c>
      <c r="P94" s="34">
        <f>(M94-'Processing costs'!G94)*100/9100</f>
        <v>46.692307692307693</v>
      </c>
      <c r="Q94" s="34">
        <f>(N94-'Processing costs'!H94)*100/16700</f>
        <v>3.8735444577556719</v>
      </c>
      <c r="R94" s="34">
        <f>(O94-'Processing costs'!I94)*100/205000</f>
        <v>2.5785365853658537</v>
      </c>
      <c r="S94" s="16"/>
      <c r="T94" s="16"/>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row>
    <row r="95" spans="1:45" x14ac:dyDescent="0.3">
      <c r="A95" s="35"/>
      <c r="B95" s="42">
        <v>44713</v>
      </c>
      <c r="C95" s="37">
        <f t="shared" ref="C95" si="71">I95+J95+K95</f>
        <v>56.434671269515398</v>
      </c>
      <c r="D95" s="37">
        <f t="shared" ref="D95:D96" si="72">P95+Q95+R95</f>
        <v>54.09319563294936</v>
      </c>
      <c r="E95" s="35"/>
      <c r="F95" s="38">
        <v>6020</v>
      </c>
      <c r="G95" s="38">
        <v>3380</v>
      </c>
      <c r="H95" s="38">
        <v>889.81478739923182</v>
      </c>
      <c r="I95" s="37">
        <f>(F95-'Processing costs'!C95)*100/19900</f>
        <v>28.723618090452263</v>
      </c>
      <c r="J95" s="37">
        <f>((G95-103)-'Processing costs'!E95)*100/203600</f>
        <v>1.3585461689587426</v>
      </c>
      <c r="K95" s="37">
        <f>(G95-'Processing costs'!D95-H95*8.5%)*100/10600</f>
        <v>26.352507010104393</v>
      </c>
      <c r="L95" s="35"/>
      <c r="M95" s="38">
        <v>4740</v>
      </c>
      <c r="N95" s="38">
        <f>1323.38/1.1695</f>
        <v>1131.577597263788</v>
      </c>
      <c r="O95" s="38">
        <f t="shared" ref="O95:O96" si="73">F95-300</f>
        <v>5720</v>
      </c>
      <c r="P95" s="37">
        <f>(M95-'Processing costs'!G95)*100/9100</f>
        <v>47.681318681318679</v>
      </c>
      <c r="Q95" s="37">
        <f>(N95-'Processing costs'!H95)*100/16700</f>
        <v>3.7699257321184909</v>
      </c>
      <c r="R95" s="37">
        <f>(O95-'Processing costs'!I95)*100/205000</f>
        <v>2.6419512195121952</v>
      </c>
      <c r="S95" s="16"/>
      <c r="T95" s="16"/>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row>
    <row r="96" spans="1:45" x14ac:dyDescent="0.3">
      <c r="A96" s="35" t="s">
        <v>53</v>
      </c>
      <c r="B96" s="41">
        <v>44743</v>
      </c>
      <c r="C96" s="34">
        <f>I96+J96+K96</f>
        <v>54.745897958893764</v>
      </c>
      <c r="D96" s="34">
        <f t="shared" si="72"/>
        <v>53.00591183379251</v>
      </c>
      <c r="E96" s="35"/>
      <c r="F96" s="36">
        <v>5940</v>
      </c>
      <c r="G96" s="36">
        <v>3290</v>
      </c>
      <c r="H96" s="36">
        <v>940.28613931129553</v>
      </c>
      <c r="I96" s="34">
        <f>(F96-'Processing costs'!C96)*100/19900</f>
        <v>28.266331658291456</v>
      </c>
      <c r="J96" s="34">
        <f>((G96-103)-'Processing costs'!E96)*100/203600</f>
        <v>1.2996070726915521</v>
      </c>
      <c r="K96" s="34">
        <f>(G96-'Processing costs'!D96-H96*8.5%)*100/10600</f>
        <v>25.179959227910754</v>
      </c>
      <c r="L96" s="35"/>
      <c r="M96" s="36">
        <v>4740</v>
      </c>
      <c r="N96" s="36">
        <f>1183.23/1.1712</f>
        <v>1010.2715163934427</v>
      </c>
      <c r="O96" s="36">
        <f t="shared" si="73"/>
        <v>5640</v>
      </c>
      <c r="P96" s="34">
        <f>(M96-'Processing costs'!G96)*100/9100</f>
        <v>47.53846153846154</v>
      </c>
      <c r="Q96" s="34">
        <f>(N96-'Processing costs'!H96)*100/16700</f>
        <v>2.8698893197212136</v>
      </c>
      <c r="R96" s="34">
        <f>(O96-'Processing costs'!I96)*100/205000</f>
        <v>2.5975609756097562</v>
      </c>
      <c r="S96" s="16"/>
      <c r="T96" s="16"/>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row>
    <row r="97" spans="1:45" x14ac:dyDescent="0.3">
      <c r="A97" s="35"/>
      <c r="B97" s="42">
        <v>44774</v>
      </c>
      <c r="C97" s="37">
        <f t="shared" ref="C97" si="74">I97+J97+K97</f>
        <v>51.318416184899505</v>
      </c>
      <c r="D97" s="37">
        <f t="shared" ref="D97:D98" si="75">P97+Q97+R97</f>
        <v>52.058310318145416</v>
      </c>
      <c r="E97" s="35"/>
      <c r="F97" s="38">
        <v>5850</v>
      </c>
      <c r="G97" s="38">
        <v>2990</v>
      </c>
      <c r="H97" s="38">
        <v>937.39801037157076</v>
      </c>
      <c r="I97" s="37">
        <f>(F97-'Processing costs'!C97)*100/19900</f>
        <v>27.814070351758794</v>
      </c>
      <c r="J97" s="37">
        <f>((G97-103)-'Processing costs'!E97)*100/203600</f>
        <v>1.1522593320235757</v>
      </c>
      <c r="K97" s="37">
        <f>(G97-'Processing costs'!D97-H97*8.5%)*100/10600</f>
        <v>22.352086501117135</v>
      </c>
      <c r="L97" s="35"/>
      <c r="M97" s="38">
        <v>4700</v>
      </c>
      <c r="N97" s="38">
        <f>1107/1.1868</f>
        <v>932.76036400404439</v>
      </c>
      <c r="O97" s="38">
        <f t="shared" ref="O97:O98" si="76">F97-300</f>
        <v>5550</v>
      </c>
      <c r="P97" s="37">
        <f>(M97-'Processing costs'!G97)*100/9100</f>
        <v>47.098901098901102</v>
      </c>
      <c r="Q97" s="37">
        <f>(N97-'Processing costs'!H97)*100/16700</f>
        <v>2.4057506826589483</v>
      </c>
      <c r="R97" s="37">
        <f>(O97-'Processing costs'!I97)*100/205000</f>
        <v>2.5536585365853659</v>
      </c>
      <c r="S97" s="16"/>
      <c r="T97" s="16"/>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row>
    <row r="98" spans="1:45" x14ac:dyDescent="0.3">
      <c r="A98" s="35"/>
      <c r="B98" s="41">
        <v>44805</v>
      </c>
      <c r="C98" s="34">
        <f>I98+J98+K98</f>
        <v>53.131965521685999</v>
      </c>
      <c r="D98" s="34">
        <f t="shared" si="75"/>
        <v>53.919313423569214</v>
      </c>
      <c r="E98" s="35"/>
      <c r="F98" s="36">
        <v>5980</v>
      </c>
      <c r="G98" s="36">
        <v>3110</v>
      </c>
      <c r="H98" s="36">
        <v>975.72207696843327</v>
      </c>
      <c r="I98" s="34">
        <f>(F98-'Processing costs'!C98)*100/19900</f>
        <v>28.467336683417084</v>
      </c>
      <c r="J98" s="34">
        <f>((G98-103)-'Processing costs'!E98)*100/203600</f>
        <v>1.2111984282907662</v>
      </c>
      <c r="K98" s="34">
        <f>(G98-'Processing costs'!D98-H98*8.5%)*100/10600</f>
        <v>23.453430409978143</v>
      </c>
      <c r="L98" s="35"/>
      <c r="M98" s="36">
        <v>4860</v>
      </c>
      <c r="N98" s="36">
        <f>1090/1.1604</f>
        <v>939.33126508100645</v>
      </c>
      <c r="O98" s="36">
        <f t="shared" si="76"/>
        <v>5680</v>
      </c>
      <c r="P98" s="34">
        <f>(M98-'Processing costs'!G98)*100/9100</f>
        <v>48.857142857142854</v>
      </c>
      <c r="Q98" s="34">
        <f>(N98-'Processing costs'!H98)*100/16700</f>
        <v>2.4450973956946491</v>
      </c>
      <c r="R98" s="34">
        <f>(O98-'Processing costs'!I98)*100/205000</f>
        <v>2.6170731707317074</v>
      </c>
      <c r="S98" s="16"/>
      <c r="T98" s="16"/>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row>
    <row r="99" spans="1:45" x14ac:dyDescent="0.3">
      <c r="A99" s="35" t="s">
        <v>53</v>
      </c>
      <c r="B99" s="42">
        <v>44835</v>
      </c>
      <c r="C99" s="37">
        <f t="shared" ref="C99" si="77">I99+J99+K99</f>
        <v>51.270759401147288</v>
      </c>
      <c r="D99" s="37">
        <f t="shared" ref="D99:D100" si="78">P99+Q99+R99</f>
        <v>53.952721214168292</v>
      </c>
      <c r="E99" s="35"/>
      <c r="F99" s="38">
        <v>5860</v>
      </c>
      <c r="G99" s="38">
        <v>2980</v>
      </c>
      <c r="H99" s="38">
        <v>1040.8512581199436</v>
      </c>
      <c r="I99" s="37">
        <f>(F99-'Processing costs'!C99)*100/19900</f>
        <v>27.859296482412059</v>
      </c>
      <c r="J99" s="37">
        <f>((G99-103)-'Processing costs'!E99)*100/203600</f>
        <v>1.1517681728880158</v>
      </c>
      <c r="K99" s="37">
        <f>(G99-'Processing costs'!D99-H99*8.5%)*100/10600</f>
        <v>22.259694745847213</v>
      </c>
      <c r="L99" s="35"/>
      <c r="M99" s="38">
        <v>4860</v>
      </c>
      <c r="N99" s="38">
        <f>1076/1.1397</f>
        <v>944.10809862244457</v>
      </c>
      <c r="O99" s="38">
        <f t="shared" ref="O99:O100" si="79">F99-300</f>
        <v>5560</v>
      </c>
      <c r="P99" s="37">
        <f>(M99-'Processing costs'!G99)*100/9100</f>
        <v>48.81318681318681</v>
      </c>
      <c r="Q99" s="37">
        <f>(N99-'Processing costs'!H99)*100/16700</f>
        <v>2.5814856204936802</v>
      </c>
      <c r="R99" s="37">
        <f>(O99-'Processing costs'!I99)*100/205000</f>
        <v>2.5580487804878049</v>
      </c>
      <c r="S99" s="16"/>
      <c r="T99" s="16"/>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row>
    <row r="100" spans="1:45" x14ac:dyDescent="0.3">
      <c r="A100" s="35"/>
      <c r="B100" s="41">
        <v>44866</v>
      </c>
      <c r="C100" s="34">
        <f>I100+J100+K100</f>
        <v>44.689592205857679</v>
      </c>
      <c r="D100" s="34">
        <f t="shared" si="78"/>
        <v>52.294021384611995</v>
      </c>
      <c r="E100" s="35"/>
      <c r="F100" s="36">
        <v>5280</v>
      </c>
      <c r="G100" s="36">
        <v>2610</v>
      </c>
      <c r="H100" s="36">
        <v>1033.742290895809</v>
      </c>
      <c r="I100" s="34">
        <f>(F100-'Processing costs'!C100)*100/19900</f>
        <v>24.944723618090453</v>
      </c>
      <c r="J100" s="34">
        <f>((G100-103)-'Processing costs'!E100)*100/203600</f>
        <v>0.97003929273084477</v>
      </c>
      <c r="K100" s="34">
        <f>(G100-'Processing costs'!D100-H100*8.5%)*100/10600</f>
        <v>18.77482929503638</v>
      </c>
      <c r="L100" s="35"/>
      <c r="M100" s="36">
        <v>4760</v>
      </c>
      <c r="N100" s="36">
        <f>1033/1.1505</f>
        <v>897.87049109083</v>
      </c>
      <c r="O100" s="36">
        <f t="shared" si="79"/>
        <v>4980</v>
      </c>
      <c r="P100" s="34">
        <f>(M100-'Processing costs'!G100)*100/9100</f>
        <v>47.714285714285715</v>
      </c>
      <c r="Q100" s="34">
        <f>(N100-'Processing costs'!H100)*100/16700</f>
        <v>2.3046137191067668</v>
      </c>
      <c r="R100" s="34">
        <f>(O100-'Processing costs'!I100)*100/205000</f>
        <v>2.275121951219512</v>
      </c>
      <c r="S100" s="16"/>
      <c r="T100" s="16"/>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row>
    <row r="101" spans="1:45" x14ac:dyDescent="0.3">
      <c r="A101" s="35"/>
      <c r="B101" s="42">
        <v>44896</v>
      </c>
      <c r="C101" s="37">
        <f t="shared" ref="C101" si="80">I101+J101+K101</f>
        <v>39.630332023919159</v>
      </c>
      <c r="D101" s="37">
        <f t="shared" ref="D101:D102" si="81">P101+Q101+R101</f>
        <v>47.848012247440799</v>
      </c>
      <c r="E101" s="35"/>
      <c r="F101" s="38">
        <v>4620</v>
      </c>
      <c r="G101" s="38">
        <v>2430</v>
      </c>
      <c r="H101" s="38">
        <v>979.06551482846487</v>
      </c>
      <c r="I101" s="37">
        <f>(F101-'Processing costs'!C101)*100/19900</f>
        <v>21.628140703517587</v>
      </c>
      <c r="J101" s="37">
        <f>((G101-103)-'Processing costs'!E101)*100/203600</f>
        <v>0.88163064833005889</v>
      </c>
      <c r="K101" s="37">
        <f>(G101-'Processing costs'!D101-H101*8.5%)*100/10600</f>
        <v>17.120560672071512</v>
      </c>
      <c r="L101" s="35"/>
      <c r="M101" s="38">
        <v>4430</v>
      </c>
      <c r="N101" s="38">
        <f>943/1.1574</f>
        <v>814.7572144461725</v>
      </c>
      <c r="O101" s="38">
        <f t="shared" ref="O101" si="82">F101-300</f>
        <v>4320</v>
      </c>
      <c r="P101" s="37">
        <f>(M101-'Processing costs'!G101)*100/9100</f>
        <v>44.087912087912088</v>
      </c>
      <c r="Q101" s="37">
        <f>(N101-'Processing costs'!H101)*100/16700</f>
        <v>1.8069294278213923</v>
      </c>
      <c r="R101" s="37">
        <f>(O101-'Processing costs'!I101)*100/205000</f>
        <v>1.953170731707317</v>
      </c>
      <c r="S101" s="16"/>
      <c r="T101" s="16"/>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row>
    <row r="102" spans="1:45" x14ac:dyDescent="0.3">
      <c r="A102" s="89" t="s">
        <v>53</v>
      </c>
      <c r="B102" s="41">
        <v>44927</v>
      </c>
      <c r="C102" s="34">
        <f t="shared" ref="C102:C107" si="83">I102+J102+K102</f>
        <v>35.087981384810156</v>
      </c>
      <c r="D102" s="34">
        <f t="shared" si="81"/>
        <v>44.454500055621089</v>
      </c>
      <c r="E102" s="35"/>
      <c r="F102" s="36">
        <v>4120</v>
      </c>
      <c r="G102" s="36">
        <v>2270</v>
      </c>
      <c r="H102" s="36">
        <v>971.90992759087555</v>
      </c>
      <c r="I102" s="34">
        <f>(F102-'Processing costs'!C102)*100/19900</f>
        <v>19.045226130653266</v>
      </c>
      <c r="J102" s="34">
        <f>((G102-103)-'Processing costs'!E102)*100/203600</f>
        <v>0.78438113948919452</v>
      </c>
      <c r="K102" s="34">
        <f>(G102-'Processing costs'!D102-H102*8.5%)*100/10600</f>
        <v>15.258374114667696</v>
      </c>
      <c r="L102" s="35"/>
      <c r="M102" s="36">
        <v>4200</v>
      </c>
      <c r="N102" s="36">
        <f>878.3/1.133</f>
        <v>775.19858781994697</v>
      </c>
      <c r="O102" s="36">
        <f t="shared" ref="O102:O107" si="84">F102-300</f>
        <v>3820</v>
      </c>
      <c r="P102" s="34">
        <f>(M102-'Processing costs'!G102)*100/9100</f>
        <v>41.373626373626372</v>
      </c>
      <c r="Q102" s="34">
        <f>(N102-'Processing costs'!H102)*100/16700</f>
        <v>1.3784346576044728</v>
      </c>
      <c r="R102" s="34">
        <f>(O102-'Processing costs'!I102)*100/205000</f>
        <v>1.7024390243902439</v>
      </c>
      <c r="S102" s="16"/>
      <c r="T102" s="16"/>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row>
    <row r="103" spans="1:45" x14ac:dyDescent="0.3">
      <c r="A103" s="89"/>
      <c r="B103" s="42">
        <v>44958</v>
      </c>
      <c r="C103" s="37">
        <f t="shared" si="83"/>
        <v>33.469053916123642</v>
      </c>
      <c r="D103" s="37">
        <f t="shared" ref="D103:D104" si="85">P103+Q103+R103</f>
        <v>38.255952055585503</v>
      </c>
      <c r="E103" s="35"/>
      <c r="F103" s="38">
        <v>3920</v>
      </c>
      <c r="G103" s="38">
        <v>2200</v>
      </c>
      <c r="H103" s="38">
        <v>871.0775461594925</v>
      </c>
      <c r="I103" s="37">
        <f>(F103-'Processing costs'!C103)*100/19900</f>
        <v>18.040201005025125</v>
      </c>
      <c r="J103" s="37">
        <f>((G103-103)-'Processing costs'!E103)*100/203600</f>
        <v>0.75</v>
      </c>
      <c r="K103" s="37">
        <f>(G103-'Processing costs'!D103-H103*8.5%)*100/10600</f>
        <v>14.678852911098518</v>
      </c>
      <c r="L103" s="35"/>
      <c r="M103" s="38">
        <v>3680</v>
      </c>
      <c r="N103" s="38">
        <f>803/1.13</f>
        <v>710.6194690265487</v>
      </c>
      <c r="O103" s="38">
        <f t="shared" si="84"/>
        <v>3620</v>
      </c>
      <c r="P103" s="37">
        <f>(M103-'Processing costs'!G103)*100/9100</f>
        <v>35.659340659340657</v>
      </c>
      <c r="Q103" s="37">
        <f>(N103-'Processing costs'!H103)*100/16700</f>
        <v>0.99173334746436337</v>
      </c>
      <c r="R103" s="37">
        <f>(O103-'Processing costs'!I103)*100/205000</f>
        <v>1.6048780487804879</v>
      </c>
      <c r="S103" s="16"/>
      <c r="T103" s="16"/>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row>
    <row r="104" spans="1:45" x14ac:dyDescent="0.3">
      <c r="A104" s="89"/>
      <c r="B104" s="41">
        <v>44986</v>
      </c>
      <c r="C104" s="34">
        <f t="shared" si="83"/>
        <v>34.551080356493181</v>
      </c>
      <c r="D104" s="34">
        <f t="shared" si="85"/>
        <v>38.082119216504104</v>
      </c>
      <c r="E104" s="35"/>
      <c r="F104" s="36">
        <v>4060</v>
      </c>
      <c r="G104" s="36">
        <v>2230</v>
      </c>
      <c r="H104" s="36">
        <v>770.37104843617317</v>
      </c>
      <c r="I104" s="34">
        <f>(F104-'Processing costs'!C104)*100/19900</f>
        <v>18.743718592964825</v>
      </c>
      <c r="J104" s="34">
        <f>((G104-103)-'Processing costs'!E104)*100/203600</f>
        <v>0.76473477406679768</v>
      </c>
      <c r="K104" s="34">
        <f>(G104-'Processing costs'!D104-H104*8.5%)*100/10600</f>
        <v>15.042626989461558</v>
      </c>
      <c r="L104" s="35"/>
      <c r="M104" s="36">
        <v>3670</v>
      </c>
      <c r="N104" s="36">
        <f>780.8/1.134</f>
        <v>688.53615520282187</v>
      </c>
      <c r="O104" s="36">
        <f t="shared" si="84"/>
        <v>3760</v>
      </c>
      <c r="P104" s="34">
        <f>(M104-'Processing costs'!G104)*100/9100</f>
        <v>35.549450549450547</v>
      </c>
      <c r="Q104" s="34">
        <f>(N104-'Processing costs'!H104)*100/16700</f>
        <v>0.85949793534623875</v>
      </c>
      <c r="R104" s="34">
        <f>(O104-'Processing costs'!I104)*100/205000</f>
        <v>1.673170731707317</v>
      </c>
      <c r="S104" s="16"/>
      <c r="T104" s="16"/>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row>
    <row r="105" spans="1:45" x14ac:dyDescent="0.3">
      <c r="A105" s="89" t="s">
        <v>53</v>
      </c>
      <c r="B105" s="42">
        <v>45017</v>
      </c>
      <c r="C105" s="37">
        <f t="shared" si="83"/>
        <v>31.807534316104643</v>
      </c>
      <c r="D105" s="37">
        <f t="shared" ref="D105" si="86">P105+Q105+R105</f>
        <v>36.422202881826806</v>
      </c>
      <c r="E105" s="35"/>
      <c r="F105" s="38">
        <v>3920</v>
      </c>
      <c r="G105" s="38">
        <v>2020</v>
      </c>
      <c r="H105" s="38">
        <v>646.88366230425095</v>
      </c>
      <c r="I105" s="37">
        <f>(F105-'Processing costs'!C105)*100/19900</f>
        <v>18.025125628140703</v>
      </c>
      <c r="J105" s="37">
        <f>((G105-103)-'Processing costs'!E105)*100/203600</f>
        <v>0.65962671905697445</v>
      </c>
      <c r="K105" s="37">
        <f>(G105-'Processing costs'!D105-H105*8.5%)*100/10600</f>
        <v>13.122781968906967</v>
      </c>
      <c r="L105" s="35"/>
      <c r="M105" s="38">
        <v>3550</v>
      </c>
      <c r="N105" s="38">
        <f>754.73/1.136</f>
        <v>664.37500000000011</v>
      </c>
      <c r="O105" s="38">
        <f t="shared" si="84"/>
        <v>3620</v>
      </c>
      <c r="P105" s="37">
        <f>(M105-'Processing costs'!G105)*100/9100</f>
        <v>34.175824175824175</v>
      </c>
      <c r="Q105" s="37">
        <f>(N105-'Processing costs'!H105)*100/16700</f>
        <v>0.64296407185628812</v>
      </c>
      <c r="R105" s="37">
        <f>(O105-'Processing costs'!I105)*100/205000</f>
        <v>1.6034146341463416</v>
      </c>
      <c r="S105" s="16"/>
      <c r="T105" s="16"/>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row>
    <row r="106" spans="1:45" x14ac:dyDescent="0.3">
      <c r="A106" s="35"/>
      <c r="B106" s="41">
        <v>45047</v>
      </c>
      <c r="C106" s="34">
        <f t="shared" si="83"/>
        <v>32.013329836121017</v>
      </c>
      <c r="D106" s="34">
        <f t="shared" ref="D106:D111" si="87">P106+Q106+R106</f>
        <v>36.249297350892725</v>
      </c>
      <c r="E106" s="35"/>
      <c r="F106" s="36">
        <v>3910</v>
      </c>
      <c r="G106" s="36">
        <v>2040</v>
      </c>
      <c r="H106" s="36">
        <v>575.12247500804892</v>
      </c>
      <c r="I106" s="34">
        <f>(F106-'Processing costs'!C106)*100/19900</f>
        <v>17.974874371859297</v>
      </c>
      <c r="J106" s="34">
        <f>((G106-103)-'Processing costs'!E106)*100/203600</f>
        <v>0.66944990176817287</v>
      </c>
      <c r="K106" s="34">
        <f>(G106-'Processing costs'!D106-H106*8.5%)*100/10600</f>
        <v>13.369005562493546</v>
      </c>
      <c r="L106" s="35"/>
      <c r="M106" s="36">
        <v>3550</v>
      </c>
      <c r="N106" s="36">
        <f>728.58/1.145</f>
        <v>636.31441048034935</v>
      </c>
      <c r="O106" s="36">
        <f t="shared" si="84"/>
        <v>3610</v>
      </c>
      <c r="P106" s="34">
        <f>(M106-'Processing costs'!G106)*100/9100</f>
        <v>34.175824175824175</v>
      </c>
      <c r="Q106" s="34">
        <f>(N106-'Processing costs'!H106)*100/16700</f>
        <v>0.4749365897026907</v>
      </c>
      <c r="R106" s="34">
        <f>(O106-'Processing costs'!I106)*100/205000</f>
        <v>1.5985365853658537</v>
      </c>
      <c r="S106" s="16"/>
      <c r="T106" s="16"/>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row>
    <row r="107" spans="1:45" x14ac:dyDescent="0.3">
      <c r="B107" s="42">
        <v>45078</v>
      </c>
      <c r="C107" s="37">
        <f t="shared" si="83"/>
        <v>32.657242412250305</v>
      </c>
      <c r="D107" s="37">
        <f t="shared" si="87"/>
        <v>36.316070067241014</v>
      </c>
      <c r="E107" s="35"/>
      <c r="F107" s="38">
        <v>3990</v>
      </c>
      <c r="G107" s="38">
        <v>2060</v>
      </c>
      <c r="H107" s="38">
        <v>521</v>
      </c>
      <c r="I107" s="37">
        <f>(F107-'Processing costs'!C107)*100/19900</f>
        <v>18.376884422110553</v>
      </c>
      <c r="J107" s="37">
        <f>((G107-103)-'Processing costs'!E107)*100/203600</f>
        <v>0.67927308447937129</v>
      </c>
      <c r="K107" s="37">
        <f>(G107-'Processing costs'!D107-H107*8.5%)*100/10600</f>
        <v>13.601084905660377</v>
      </c>
      <c r="L107" s="35"/>
      <c r="M107" s="38">
        <v>3560</v>
      </c>
      <c r="N107" s="38">
        <f>724.08/1.163</f>
        <v>622.59673258813416</v>
      </c>
      <c r="O107" s="38">
        <f t="shared" si="84"/>
        <v>3690</v>
      </c>
      <c r="P107" s="37">
        <f>(M107-'Processing costs'!G107)*100/9100</f>
        <v>34.285714285714285</v>
      </c>
      <c r="Q107" s="37">
        <f>(N107-'Processing costs'!H107)*100/16700</f>
        <v>0.39279480591697102</v>
      </c>
      <c r="R107" s="37">
        <f>(O107-'Processing costs'!I107)*100/205000</f>
        <v>1.637560975609756</v>
      </c>
      <c r="S107" s="16"/>
      <c r="T107" s="16"/>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row>
    <row r="108" spans="1:45" x14ac:dyDescent="0.3">
      <c r="A108" s="89" t="s">
        <v>53</v>
      </c>
      <c r="B108" s="41">
        <v>45108</v>
      </c>
      <c r="C108" s="34">
        <f t="shared" ref="C108:C109" si="88">I108+J108+K108</f>
        <v>29.664590893359183</v>
      </c>
      <c r="D108" s="34">
        <f t="shared" si="87"/>
        <v>34.602837395279927</v>
      </c>
      <c r="E108" s="35"/>
      <c r="F108" s="36">
        <v>3790</v>
      </c>
      <c r="G108" s="36">
        <v>1900</v>
      </c>
      <c r="H108" s="36">
        <v>455</v>
      </c>
      <c r="I108" s="34">
        <f>(F108-'Processing costs'!C108)*100/19900</f>
        <v>17.2964824120603</v>
      </c>
      <c r="J108" s="34">
        <f>((G108-103)-'Processing costs'!E108)*100/203600</f>
        <v>0.58202357563850693</v>
      </c>
      <c r="K108" s="34">
        <f>(G108-'Processing costs'!D108-H108*8.5%)*100/10600</f>
        <v>11.786084905660378</v>
      </c>
      <c r="L108" s="35"/>
      <c r="M108" s="36">
        <v>3470</v>
      </c>
      <c r="N108" s="36">
        <f>689.32/1.164</f>
        <v>592.19931271477674</v>
      </c>
      <c r="O108" s="36">
        <f t="shared" ref="O108:O113" si="89">F108-300</f>
        <v>3490</v>
      </c>
      <c r="P108" s="34">
        <f>(M108-'Processing costs'!G108)*100/9100</f>
        <v>33.098901098901102</v>
      </c>
      <c r="Q108" s="34">
        <f>(N108-'Processing costs'!H108)*100/16700</f>
        <v>-2.8746630450438692E-2</v>
      </c>
      <c r="R108" s="34">
        <f>(O108-'Processing costs'!I108)*100/205000</f>
        <v>1.5326829268292683</v>
      </c>
    </row>
    <row r="109" spans="1:45" x14ac:dyDescent="0.3">
      <c r="A109" s="89"/>
      <c r="B109" s="42">
        <v>45139</v>
      </c>
      <c r="C109" s="37">
        <f t="shared" si="88"/>
        <v>28.612363457108355</v>
      </c>
      <c r="D109" s="37">
        <f t="shared" si="87"/>
        <v>32.896049748160678</v>
      </c>
      <c r="E109" s="35"/>
      <c r="F109" s="38">
        <v>3680</v>
      </c>
      <c r="G109" s="38">
        <v>1850</v>
      </c>
      <c r="H109" s="38">
        <v>459</v>
      </c>
      <c r="I109" s="37">
        <f>(F109-'Processing costs'!C109)*100/19900</f>
        <v>16.743718592964825</v>
      </c>
      <c r="J109" s="37">
        <f>((G109-103)-'Processing costs'!E109)*100/203600</f>
        <v>0.55746561886051083</v>
      </c>
      <c r="K109" s="37">
        <f>(G109-'Processing costs'!D109-H109*8.5%)*100/10600</f>
        <v>11.311179245283018</v>
      </c>
      <c r="L109" s="35"/>
      <c r="M109" s="38">
        <v>3330</v>
      </c>
      <c r="N109" s="38">
        <f>667.03/1.164</f>
        <v>573.04982817869416</v>
      </c>
      <c r="O109" s="38">
        <f t="shared" si="89"/>
        <v>3380</v>
      </c>
      <c r="P109" s="37">
        <f>(M109-'Processing costs'!G109)*100/9100</f>
        <v>31.560439560439562</v>
      </c>
      <c r="Q109" s="37">
        <f>(N109-'Processing costs'!H109)*100/16700</f>
        <v>-0.1434142025227895</v>
      </c>
      <c r="R109" s="37">
        <f>(O109-'Processing costs'!I109)*100/205000</f>
        <v>1.4790243902439024</v>
      </c>
    </row>
    <row r="110" spans="1:45" x14ac:dyDescent="0.3">
      <c r="B110" s="41">
        <v>45170</v>
      </c>
      <c r="C110" s="34">
        <f t="shared" ref="C110" si="90">I110+J110+K110</f>
        <v>28.808642024855342</v>
      </c>
      <c r="D110" s="34">
        <f t="shared" si="87"/>
        <v>32.16830663474726</v>
      </c>
      <c r="E110" s="35"/>
      <c r="F110" s="36">
        <v>3710</v>
      </c>
      <c r="G110" s="36">
        <v>1860</v>
      </c>
      <c r="H110" s="36">
        <v>526</v>
      </c>
      <c r="I110" s="34">
        <f>(F110-'Processing costs'!C110)*100/19900</f>
        <v>16.894472361809044</v>
      </c>
      <c r="J110" s="34">
        <f>((G110-103)-'Processing costs'!E110)*100/203600</f>
        <v>0.56237721021610998</v>
      </c>
      <c r="K110" s="34">
        <f>(G110-'Processing costs'!D110-H110*8.5%)*100/10600</f>
        <v>11.351792452830189</v>
      </c>
      <c r="L110" s="35"/>
      <c r="M110" s="36">
        <v>3260</v>
      </c>
      <c r="N110" s="36">
        <f>672.25/1.164</f>
        <v>577.53436426116843</v>
      </c>
      <c r="O110" s="36">
        <f t="shared" si="89"/>
        <v>3410</v>
      </c>
      <c r="P110" s="34">
        <f>(M110-'Processing costs'!G110)*100/9100</f>
        <v>30.791208791208792</v>
      </c>
      <c r="Q110" s="34">
        <f>(N110-'Processing costs'!H110)*100/16700</f>
        <v>-0.11656069304689561</v>
      </c>
      <c r="R110" s="34">
        <f>(O110-'Processing costs'!I110)*100/205000</f>
        <v>1.4936585365853658</v>
      </c>
      <c r="S110" s="16"/>
      <c r="T110" s="16"/>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row>
    <row r="111" spans="1:45" x14ac:dyDescent="0.3">
      <c r="A111" s="89" t="s">
        <v>53</v>
      </c>
      <c r="B111" s="42">
        <v>45200</v>
      </c>
      <c r="C111" s="37">
        <f>I111+J111+K111</f>
        <v>34.51961458746824</v>
      </c>
      <c r="D111" s="37">
        <f t="shared" si="87"/>
        <v>33.283651684056096</v>
      </c>
      <c r="E111" s="35"/>
      <c r="F111" s="38">
        <v>4070</v>
      </c>
      <c r="G111" s="38">
        <v>2220</v>
      </c>
      <c r="H111" s="38">
        <v>537</v>
      </c>
      <c r="I111" s="37">
        <f>(F111-'Processing costs'!C111)*100/19900</f>
        <v>18.723618090452263</v>
      </c>
      <c r="J111" s="37">
        <f>((G111-103)-'Processing costs'!E111)*100/203600</f>
        <v>0.75491159135559927</v>
      </c>
      <c r="K111" s="37">
        <f>(G111-'Processing costs'!D111-H111*8.5%)*100/10600</f>
        <v>15.041084905660377</v>
      </c>
      <c r="L111" s="35"/>
      <c r="M111" s="38">
        <v>3290</v>
      </c>
      <c r="N111" s="38">
        <f>732.5/1.154</f>
        <v>634.74870017331023</v>
      </c>
      <c r="O111" s="38">
        <f t="shared" si="89"/>
        <v>3770</v>
      </c>
      <c r="P111" s="37">
        <f>(M111-'Processing costs'!G111)*100/9100</f>
        <v>31.164835164835164</v>
      </c>
      <c r="Q111" s="37">
        <f>(N111-'Processing costs'!H111)*100/16700</f>
        <v>0.44759700702580973</v>
      </c>
      <c r="R111" s="37">
        <f>(O111-'Processing costs'!I111)*100/205000</f>
        <v>1.6712195121951219</v>
      </c>
      <c r="S111" s="16"/>
      <c r="T111" s="16"/>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row>
    <row r="112" spans="1:45" x14ac:dyDescent="0.3">
      <c r="A112" s="89"/>
      <c r="B112" s="41">
        <v>45231</v>
      </c>
      <c r="C112" s="34">
        <f t="shared" ref="C112" si="91">I112+J112+K112</f>
        <v>37.658690658783783</v>
      </c>
      <c r="D112" s="34">
        <f t="shared" ref="D112:D113" si="92">P112+Q112+R112</f>
        <v>35.169120372550928</v>
      </c>
      <c r="E112" s="35"/>
      <c r="F112" s="36">
        <v>4580</v>
      </c>
      <c r="G112" s="36">
        <v>2280</v>
      </c>
      <c r="H112" s="36">
        <v>561</v>
      </c>
      <c r="I112" s="34">
        <f>(F112-'Processing costs'!C112)*100/19900</f>
        <v>21.286432160804019</v>
      </c>
      <c r="J112" s="34">
        <f>((G112-103)-'Processing costs'!E112)*100/203600</f>
        <v>0.78438113948919452</v>
      </c>
      <c r="K112" s="34">
        <f>(G112-'Processing costs'!D112-H112*8.5%)*100/10600</f>
        <v>15.587877358490566</v>
      </c>
      <c r="L112" s="35"/>
      <c r="M112" s="36">
        <v>3400</v>
      </c>
      <c r="N112" s="36">
        <f>810.02/1.147</f>
        <v>706.20749782040104</v>
      </c>
      <c r="O112" s="36">
        <f t="shared" si="89"/>
        <v>4280</v>
      </c>
      <c r="P112" s="34">
        <f>(M112-'Processing costs'!G112)*100/9100</f>
        <v>32.373626373626372</v>
      </c>
      <c r="Q112" s="34">
        <f>(N112-'Processing costs'!H112)*100/16700</f>
        <v>0.87549399892455715</v>
      </c>
      <c r="R112" s="34">
        <f>(O112-'Processing costs'!I112)*100/205000</f>
        <v>1.92</v>
      </c>
      <c r="S112" s="16"/>
      <c r="T112" s="16"/>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row>
    <row r="113" spans="1:45" x14ac:dyDescent="0.3">
      <c r="A113" s="89"/>
      <c r="B113" s="42">
        <v>45261</v>
      </c>
      <c r="C113" s="37">
        <f t="shared" ref="C113:C119" si="93">I113+J113+K113</f>
        <v>37.951218840244145</v>
      </c>
      <c r="D113" s="37">
        <f t="shared" si="92"/>
        <v>36.536952701759525</v>
      </c>
      <c r="E113" s="35"/>
      <c r="F113" s="38">
        <v>4740</v>
      </c>
      <c r="G113" s="38">
        <v>2230</v>
      </c>
      <c r="H113" s="38">
        <v>580</v>
      </c>
      <c r="I113" s="37">
        <f>(F113-'Processing costs'!C113)*100/19900</f>
        <v>22.090452261306531</v>
      </c>
      <c r="J113" s="37">
        <f>((G113-103)-'Processing costs'!E113)*100/203600</f>
        <v>0.75982318271119842</v>
      </c>
      <c r="K113" s="37">
        <f>(G113-'Processing costs'!D113-H113*8.5%)*100/10600</f>
        <v>15.100943396226414</v>
      </c>
      <c r="L113" s="35"/>
      <c r="M113" s="38">
        <v>3510</v>
      </c>
      <c r="N113" s="38">
        <f>836.33/1.162</f>
        <v>719.7332185886404</v>
      </c>
      <c r="O113" s="38">
        <f t="shared" si="89"/>
        <v>4440</v>
      </c>
      <c r="P113" s="37">
        <f>(M113-'Processing costs'!G113)*100/9100</f>
        <v>33.582417582417584</v>
      </c>
      <c r="Q113" s="37">
        <f>(N113-'Processing costs'!H113)*100/16700</f>
        <v>0.95648633885413414</v>
      </c>
      <c r="R113" s="37">
        <f>(O113-'Processing costs'!I113)*100/205000</f>
        <v>1.9980487804878049</v>
      </c>
      <c r="S113" s="16"/>
      <c r="T113" s="16"/>
      <c r="U113" s="16"/>
      <c r="V113" s="16"/>
      <c r="W113" s="16"/>
      <c r="X113" s="16"/>
      <c r="Y113" s="16"/>
      <c r="Z113" s="16"/>
      <c r="AA113" s="16"/>
      <c r="AB113" s="16"/>
      <c r="AC113" s="16"/>
      <c r="AD113" s="16"/>
      <c r="AE113" s="16"/>
      <c r="AF113" s="16"/>
      <c r="AG113" s="16"/>
      <c r="AH113" s="16"/>
      <c r="AI113" s="16"/>
      <c r="AJ113" s="16"/>
      <c r="AK113" s="16"/>
      <c r="AL113" s="16"/>
      <c r="AM113" s="16"/>
      <c r="AN113" s="16"/>
      <c r="AO113" s="16"/>
      <c r="AP113" s="16"/>
      <c r="AQ113" s="16"/>
      <c r="AR113" s="16"/>
      <c r="AS113" s="16"/>
    </row>
    <row r="114" spans="1:45" x14ac:dyDescent="0.3">
      <c r="A114" s="89" t="s">
        <v>53</v>
      </c>
      <c r="B114" s="41">
        <v>45292</v>
      </c>
      <c r="C114" s="34">
        <f t="shared" si="93"/>
        <v>37.443882174523132</v>
      </c>
      <c r="D114" s="34">
        <f t="shared" ref="D114:D119" si="94">P114+Q114+R114</f>
        <v>37.613866985832232</v>
      </c>
      <c r="E114" s="35"/>
      <c r="F114" s="36">
        <v>4750</v>
      </c>
      <c r="G114" s="36">
        <v>2170</v>
      </c>
      <c r="H114" s="36">
        <v>570</v>
      </c>
      <c r="I114" s="34">
        <f>(F114-'Processing costs'!C114)*100/19900</f>
        <v>22.150753768844222</v>
      </c>
      <c r="J114" s="34">
        <f>((G114-103)-'Processing costs'!E114)*100/203600</f>
        <v>0.73133595284872299</v>
      </c>
      <c r="K114" s="34">
        <f>(G114-'Processing costs'!D114-H114*8.5%)*100/10600</f>
        <v>14.561792452830188</v>
      </c>
      <c r="L114" s="35"/>
      <c r="M114" s="36">
        <v>3600</v>
      </c>
      <c r="N114" s="36">
        <f>851.88/1.166</f>
        <v>730.60034305317333</v>
      </c>
      <c r="O114" s="36">
        <f>F114-300</f>
        <v>4450</v>
      </c>
      <c r="P114" s="34">
        <f>(M114-'Processing costs'!G114)*100/9100</f>
        <v>34.582417582417584</v>
      </c>
      <c r="Q114" s="34">
        <f>(N114-'Processing costs'!H114)*100/16700</f>
        <v>1.0275469643902595</v>
      </c>
      <c r="R114" s="34">
        <f>(O114-'Processing costs'!I114)*100/205000</f>
        <v>2.0039024390243902</v>
      </c>
      <c r="S114" s="16"/>
      <c r="T114" s="16"/>
      <c r="U114" s="16"/>
      <c r="V114" s="16"/>
      <c r="W114" s="16"/>
      <c r="X114" s="16"/>
      <c r="Y114" s="16"/>
      <c r="Z114" s="16"/>
      <c r="AA114" s="16"/>
      <c r="AB114" s="16"/>
      <c r="AC114" s="16"/>
      <c r="AD114" s="16"/>
      <c r="AE114" s="16"/>
      <c r="AF114" s="16"/>
      <c r="AG114" s="16"/>
      <c r="AH114" s="16"/>
      <c r="AI114" s="16"/>
      <c r="AJ114" s="16"/>
      <c r="AK114" s="16"/>
      <c r="AL114" s="16"/>
      <c r="AM114" s="16"/>
      <c r="AN114" s="16"/>
      <c r="AO114" s="16"/>
      <c r="AP114" s="16"/>
      <c r="AQ114" s="16"/>
      <c r="AR114" s="16"/>
      <c r="AS114" s="16"/>
    </row>
    <row r="115" spans="1:45" x14ac:dyDescent="0.3">
      <c r="B115" s="42">
        <v>45323</v>
      </c>
      <c r="C115" s="37">
        <f t="shared" si="93"/>
        <v>37.618971284025122</v>
      </c>
      <c r="D115" s="37">
        <f t="shared" si="94"/>
        <v>36.812023863411596</v>
      </c>
      <c r="E115" s="35"/>
      <c r="F115" s="38">
        <v>4850</v>
      </c>
      <c r="G115" s="38">
        <v>2140</v>
      </c>
      <c r="H115" s="38">
        <v>607</v>
      </c>
      <c r="I115" s="37">
        <f>(F115-'Processing costs'!C115)*100/19900</f>
        <v>22.653266331658291</v>
      </c>
      <c r="J115" s="37">
        <f>((G115-103)-'Processing costs'!E115)*100/203600</f>
        <v>0.71660117878192531</v>
      </c>
      <c r="K115" s="37">
        <f>(G115-'Processing costs'!D115-H115*8.5%)*100/10600</f>
        <v>14.249103773584906</v>
      </c>
      <c r="L115" s="35"/>
      <c r="M115" s="38">
        <v>3530</v>
      </c>
      <c r="N115" s="38">
        <f>833.88/1.163</f>
        <v>717.00773860705067</v>
      </c>
      <c r="O115" s="38">
        <f t="shared" ref="O115" si="95">F115-300</f>
        <v>4550</v>
      </c>
      <c r="P115" s="37">
        <f>(M115-'Processing costs'!G115)*100/9100</f>
        <v>33.81318681318681</v>
      </c>
      <c r="Q115" s="37">
        <f>(N115-'Processing costs'!H115)*100/16700</f>
        <v>0.94615412339551297</v>
      </c>
      <c r="R115" s="37">
        <f>(O115-'Processing costs'!I115)*100/205000</f>
        <v>2.0526829268292683</v>
      </c>
      <c r="S115" s="16"/>
      <c r="T115" s="16"/>
      <c r="U115" s="16"/>
      <c r="V115" s="16"/>
      <c r="W115" s="16"/>
      <c r="X115" s="16"/>
      <c r="Y115" s="16"/>
      <c r="Z115" s="16"/>
      <c r="AA115" s="16"/>
      <c r="AB115" s="16"/>
      <c r="AC115" s="16"/>
      <c r="AD115" s="16"/>
      <c r="AE115" s="16"/>
      <c r="AF115" s="16"/>
      <c r="AG115" s="16"/>
      <c r="AH115" s="16"/>
      <c r="AI115" s="16"/>
      <c r="AJ115" s="16"/>
      <c r="AK115" s="16"/>
      <c r="AL115" s="16"/>
      <c r="AM115" s="16"/>
      <c r="AN115" s="16"/>
      <c r="AO115" s="16"/>
      <c r="AP115" s="16"/>
      <c r="AQ115" s="16"/>
      <c r="AR115" s="16"/>
      <c r="AS115" s="16"/>
    </row>
    <row r="116" spans="1:45" x14ac:dyDescent="0.3">
      <c r="B116" s="41">
        <v>45352</v>
      </c>
      <c r="C116" s="34">
        <f t="shared" si="93"/>
        <v>36.617638389337053</v>
      </c>
      <c r="D116" s="34">
        <f t="shared" si="94"/>
        <v>36.282420759473645</v>
      </c>
      <c r="E116" s="35"/>
      <c r="F116" s="36">
        <v>4850</v>
      </c>
      <c r="G116" s="36">
        <v>2040</v>
      </c>
      <c r="H116" s="36">
        <v>618</v>
      </c>
      <c r="I116" s="34">
        <f>(F116-'Processing costs'!C116)*100/19900</f>
        <v>22.653266331658291</v>
      </c>
      <c r="J116" s="34">
        <f>((G116-103)-'Processing costs'!E116)*100/203600</f>
        <v>0.66748526522593321</v>
      </c>
      <c r="K116" s="34">
        <f>(G116-'Processing costs'!D116-H116*8.5%)*100/10600</f>
        <v>13.296886792452829</v>
      </c>
      <c r="L116" s="35"/>
      <c r="M116" s="36">
        <v>3490</v>
      </c>
      <c r="N116" s="36">
        <f>812.18/1.157</f>
        <v>701.97061365600689</v>
      </c>
      <c r="O116" s="36">
        <f t="shared" ref="O116:O121" si="96">F116-300</f>
        <v>4550</v>
      </c>
      <c r="P116" s="34">
        <f>(M116-'Processing costs'!G116)*100/9100</f>
        <v>33.373626373626372</v>
      </c>
      <c r="Q116" s="34">
        <f>(N116-'Processing costs'!H116)*100/16700</f>
        <v>0.85611145901800534</v>
      </c>
      <c r="R116" s="34">
        <f>(O116-'Processing costs'!I116)*100/205000</f>
        <v>2.0526829268292683</v>
      </c>
      <c r="S116" s="16"/>
      <c r="T116" s="16"/>
      <c r="U116" s="16"/>
      <c r="V116" s="16"/>
      <c r="W116" s="16"/>
      <c r="X116" s="16"/>
      <c r="Y116" s="16"/>
      <c r="Z116" s="16"/>
      <c r="AA116" s="16"/>
      <c r="AB116" s="16"/>
      <c r="AC116" s="16"/>
      <c r="AD116" s="16"/>
      <c r="AE116" s="16"/>
      <c r="AF116" s="16"/>
      <c r="AG116" s="16"/>
      <c r="AH116" s="16"/>
      <c r="AI116" s="16"/>
      <c r="AJ116" s="16"/>
      <c r="AK116" s="16"/>
      <c r="AL116" s="16"/>
      <c r="AM116" s="16"/>
      <c r="AN116" s="16"/>
      <c r="AO116" s="16"/>
      <c r="AP116" s="16"/>
      <c r="AQ116" s="16"/>
      <c r="AR116" s="16"/>
      <c r="AS116" s="16"/>
    </row>
    <row r="117" spans="1:45" x14ac:dyDescent="0.35">
      <c r="A117" s="92" t="s">
        <v>53</v>
      </c>
      <c r="B117" s="42">
        <v>45383</v>
      </c>
      <c r="C117" s="37">
        <f t="shared" si="93"/>
        <v>36.141258814273769</v>
      </c>
      <c r="D117" s="37">
        <f t="shared" si="94"/>
        <v>35.568433761410908</v>
      </c>
      <c r="F117" s="38">
        <v>4910</v>
      </c>
      <c r="G117" s="38">
        <v>2000</v>
      </c>
      <c r="H117" s="38">
        <v>659</v>
      </c>
      <c r="I117" s="37">
        <f>(F117-'Processing costs'!C117)*100/19900</f>
        <v>22.904522613065328</v>
      </c>
      <c r="J117" s="37">
        <f>((G117-103)-'Processing costs'!E117)*100/203600</f>
        <v>0.63310412573673869</v>
      </c>
      <c r="K117" s="37">
        <f>(G117-'Processing costs'!D117-H117*8.5%)*100/10600</f>
        <v>12.603632075471698</v>
      </c>
      <c r="M117" s="38">
        <v>3470</v>
      </c>
      <c r="N117" s="38">
        <f>775.52/1.16</f>
        <v>668.55172413793105</v>
      </c>
      <c r="O117" s="38">
        <f t="shared" si="96"/>
        <v>4610</v>
      </c>
      <c r="P117" s="37">
        <f>(M117-'Processing costs'!G117)*100/9100</f>
        <v>33.032967032967036</v>
      </c>
      <c r="Q117" s="37">
        <f>(N117-'Processing costs'!H117)*100/16700</f>
        <v>0.458393557712162</v>
      </c>
      <c r="R117" s="37">
        <f>(O117-'Processing costs'!I117)*100/205000</f>
        <v>2.0770731707317074</v>
      </c>
    </row>
    <row r="118" spans="1:45" x14ac:dyDescent="0.3">
      <c r="B118" s="41">
        <v>45413</v>
      </c>
      <c r="C118" s="34">
        <f t="shared" si="93"/>
        <v>37.076337988828378</v>
      </c>
      <c r="D118" s="34">
        <f t="shared" si="94"/>
        <v>36.404219095239952</v>
      </c>
      <c r="E118" s="35"/>
      <c r="F118" s="36">
        <v>5080</v>
      </c>
      <c r="G118" s="36">
        <v>2010</v>
      </c>
      <c r="H118" s="36">
        <v>682</v>
      </c>
      <c r="I118" s="34">
        <f>(F118-'Processing costs'!C118)*100/19900</f>
        <v>23.758793969849247</v>
      </c>
      <c r="J118" s="34">
        <f>((G118-103)-'Processing costs'!E118)*100/203600</f>
        <v>0.63801571709233795</v>
      </c>
      <c r="K118" s="34">
        <f>(G118-'Processing costs'!D118-H118*8.5%)*100/10600</f>
        <v>12.679528301886792</v>
      </c>
      <c r="L118" s="35"/>
      <c r="M118" s="36">
        <v>3540</v>
      </c>
      <c r="N118" s="36">
        <f>773.68/1.162</f>
        <v>665.81755593803791</v>
      </c>
      <c r="O118" s="36">
        <f t="shared" si="96"/>
        <v>4780</v>
      </c>
      <c r="P118" s="34">
        <f>(M118-'Processing costs'!G118)*100/9100</f>
        <v>33.802197802197803</v>
      </c>
      <c r="Q118" s="34">
        <f>(N118-'Processing costs'!H118)*100/16700</f>
        <v>0.44202129304214322</v>
      </c>
      <c r="R118" s="34">
        <f>(O118-'Processing costs'!I118)*100/205000</f>
        <v>2.16</v>
      </c>
      <c r="S118" s="16"/>
      <c r="T118" s="16"/>
      <c r="U118" s="16"/>
      <c r="V118" s="16"/>
      <c r="W118" s="16"/>
      <c r="X118" s="16"/>
      <c r="Y118" s="16"/>
      <c r="Z118" s="16"/>
      <c r="AA118" s="16"/>
      <c r="AB118" s="16"/>
      <c r="AC118" s="16"/>
      <c r="AD118" s="16"/>
      <c r="AE118" s="16"/>
      <c r="AF118" s="16"/>
      <c r="AG118" s="16"/>
      <c r="AH118" s="16"/>
      <c r="AI118" s="16"/>
      <c r="AJ118" s="16"/>
      <c r="AK118" s="16"/>
      <c r="AL118" s="16"/>
      <c r="AM118" s="16"/>
      <c r="AN118" s="16"/>
      <c r="AO118" s="16"/>
      <c r="AP118" s="16"/>
      <c r="AQ118" s="16"/>
      <c r="AR118" s="16"/>
      <c r="AS118" s="16"/>
    </row>
    <row r="119" spans="1:45" x14ac:dyDescent="0.3">
      <c r="B119" s="42">
        <v>45444</v>
      </c>
      <c r="C119" s="37">
        <f t="shared" si="93"/>
        <v>40.495987677852511</v>
      </c>
      <c r="D119" s="37">
        <f t="shared" si="94"/>
        <v>38.190371114730887</v>
      </c>
      <c r="E119" s="35"/>
      <c r="F119" s="38">
        <v>5660</v>
      </c>
      <c r="G119" s="38">
        <v>2060</v>
      </c>
      <c r="H119" s="38">
        <v>671</v>
      </c>
      <c r="I119" s="37">
        <f>(F119-'Processing costs'!C119)*100/19900</f>
        <v>26.673366834170853</v>
      </c>
      <c r="J119" s="37">
        <f>((G119-103)-'Processing costs'!E119)*100/203600</f>
        <v>0.66257367387033395</v>
      </c>
      <c r="K119" s="37">
        <f>(G119-'Processing costs'!D119-H119*8.5%)*100/10600</f>
        <v>13.160047169811321</v>
      </c>
      <c r="L119" s="35"/>
      <c r="M119" s="38">
        <v>3670</v>
      </c>
      <c r="N119" s="38">
        <f>790.88/1.166</f>
        <v>678.28473413379072</v>
      </c>
      <c r="O119" s="38">
        <f t="shared" si="96"/>
        <v>5360</v>
      </c>
      <c r="P119" s="37">
        <f>(M119-'Processing costs'!G119)*100/9100</f>
        <v>35.230769230769234</v>
      </c>
      <c r="Q119" s="37">
        <f>(N119-'Processing costs'!H119)*100/16700</f>
        <v>0.51667505469335762</v>
      </c>
      <c r="R119" s="37">
        <f>(O119-'Processing costs'!I119)*100/205000</f>
        <v>2.4429268292682926</v>
      </c>
      <c r="S119" s="16"/>
      <c r="T119" s="16"/>
      <c r="U119" s="16"/>
      <c r="V119" s="16"/>
      <c r="W119" s="16"/>
      <c r="X119" s="16"/>
      <c r="Y119" s="16"/>
      <c r="Z119" s="16"/>
      <c r="AA119" s="16"/>
      <c r="AB119" s="16"/>
      <c r="AC119" s="16"/>
      <c r="AD119" s="16"/>
      <c r="AE119" s="16"/>
      <c r="AF119" s="16"/>
      <c r="AG119" s="16"/>
      <c r="AH119" s="16"/>
      <c r="AI119" s="16"/>
      <c r="AJ119" s="16"/>
      <c r="AK119" s="16"/>
      <c r="AL119" s="16"/>
      <c r="AM119" s="16"/>
      <c r="AN119" s="16"/>
      <c r="AO119" s="16"/>
      <c r="AP119" s="16"/>
      <c r="AQ119" s="16"/>
      <c r="AR119" s="16"/>
      <c r="AS119" s="16"/>
    </row>
    <row r="120" spans="1:45" x14ac:dyDescent="0.35">
      <c r="A120" s="92" t="s">
        <v>53</v>
      </c>
      <c r="B120" s="41">
        <v>45474</v>
      </c>
      <c r="C120" s="34">
        <f t="shared" ref="C120:C126" si="97">I120+J120+K120</f>
        <v>40.488741391093811</v>
      </c>
      <c r="D120" s="34">
        <f t="shared" ref="D120" si="98">P120+Q120+R120</f>
        <v>39.651802529132752</v>
      </c>
      <c r="E120" s="35"/>
      <c r="F120" s="36">
        <v>5680</v>
      </c>
      <c r="G120" s="36">
        <v>2010</v>
      </c>
      <c r="H120" s="36">
        <v>670</v>
      </c>
      <c r="I120" s="34">
        <f>(F120-'Processing costs'!C120)*100/19900</f>
        <v>26.824120603015075</v>
      </c>
      <c r="J120" s="34">
        <f>((G120-103)-'Processing costs'!E120)*100/203600</f>
        <v>0.6547151277013753</v>
      </c>
      <c r="K120" s="34">
        <f>(G120-'Processing costs'!D120-H120*8.5%)*100/10600</f>
        <v>13.009905660377358</v>
      </c>
      <c r="L120" s="35"/>
      <c r="M120" s="36">
        <v>3770</v>
      </c>
      <c r="N120" s="36">
        <f>785.3/1.17</f>
        <v>671.19658119658118</v>
      </c>
      <c r="O120" s="36">
        <f t="shared" si="96"/>
        <v>5380</v>
      </c>
      <c r="P120" s="34">
        <f>(M120-'Processing costs'!G120)*100/9100</f>
        <v>36.450549450549453</v>
      </c>
      <c r="Q120" s="34">
        <f>(N120-'Processing costs'!H120)*100/16700</f>
        <v>0.74369210297353994</v>
      </c>
      <c r="R120" s="34">
        <f>(O120-'Processing costs'!I120)*100/205000</f>
        <v>2.4575609756097561</v>
      </c>
    </row>
    <row r="121" spans="1:45" x14ac:dyDescent="0.35">
      <c r="A121" s="92"/>
      <c r="B121" s="42">
        <v>45505</v>
      </c>
      <c r="C121" s="37">
        <f t="shared" si="97"/>
        <v>42.684913293438314</v>
      </c>
      <c r="D121" s="37">
        <f>P121+Q121+R121</f>
        <v>40.946576748323018</v>
      </c>
      <c r="E121" s="35"/>
      <c r="F121" s="38">
        <v>6100</v>
      </c>
      <c r="G121" s="38">
        <v>2020</v>
      </c>
      <c r="H121" s="38">
        <v>687</v>
      </c>
      <c r="I121" s="37">
        <f>(F121-'Processing costs'!C121)*100/19900</f>
        <v>28.934673366834172</v>
      </c>
      <c r="J121" s="37">
        <f>((G121-103)-'Processing costs'!E121)*100/203600</f>
        <v>0.65962671905697445</v>
      </c>
      <c r="K121" s="37">
        <f>(G121-'Processing costs'!D121-H121*8.5%)*100/10600</f>
        <v>13.09061320754717</v>
      </c>
      <c r="L121" s="35"/>
      <c r="M121" s="38">
        <v>3860</v>
      </c>
      <c r="N121" s="38">
        <f>805.7/1.171</f>
        <v>688.04440649017931</v>
      </c>
      <c r="O121" s="38">
        <f t="shared" si="96"/>
        <v>5800</v>
      </c>
      <c r="P121" s="37">
        <f>(M121-'Processing costs'!G121)*100/9100</f>
        <v>37.439560439560438</v>
      </c>
      <c r="Q121" s="37">
        <f>(N121-'Processing costs'!H121)*100/16700</f>
        <v>0.84457728437233126</v>
      </c>
      <c r="R121" s="37">
        <f>(O121-'Processing costs'!I121)*100/205000</f>
        <v>2.662439024390244</v>
      </c>
    </row>
    <row r="122" spans="1:45" x14ac:dyDescent="0.35">
      <c r="A122" s="92"/>
      <c r="B122" s="41">
        <v>45536</v>
      </c>
      <c r="C122" s="34">
        <f t="shared" si="97"/>
        <v>47.149027089053895</v>
      </c>
      <c r="D122" s="34">
        <f t="shared" ref="D122" si="99">P122+Q122+R122</f>
        <v>44.908940000816735</v>
      </c>
      <c r="E122" s="35"/>
      <c r="F122" s="36">
        <v>6730</v>
      </c>
      <c r="G122" s="36">
        <v>2150</v>
      </c>
      <c r="H122" s="36">
        <v>677</v>
      </c>
      <c r="I122" s="34">
        <f>(F122-'Processing costs'!C122)*100/19900</f>
        <v>32.100502512562812</v>
      </c>
      <c r="J122" s="34">
        <f>((G122-103)-'Processing costs'!E122)*100/203600</f>
        <v>0.72347740667976423</v>
      </c>
      <c r="K122" s="34">
        <f>(G122-'Processing costs'!D122-H122*8.5%)*100/10600</f>
        <v>14.32504716981132</v>
      </c>
      <c r="L122" s="35"/>
      <c r="M122" s="36">
        <v>4150</v>
      </c>
      <c r="N122" s="36">
        <f>896.5/1.17</f>
        <v>766.23931623931628</v>
      </c>
      <c r="O122" s="36">
        <f>F122-300</f>
        <v>6430</v>
      </c>
      <c r="P122" s="34">
        <f>(M122-'Processing costs'!G122)*100/9100</f>
        <v>40.626373626373628</v>
      </c>
      <c r="Q122" s="34">
        <f>(N122-'Processing costs'!H122)*100/16700</f>
        <v>1.3128102768821335</v>
      </c>
      <c r="R122" s="34">
        <f>(O122-'Processing costs'!I122)*100/205000</f>
        <v>2.9697560975609756</v>
      </c>
    </row>
    <row r="123" spans="1:45" x14ac:dyDescent="0.35">
      <c r="A123" s="92" t="s">
        <v>53</v>
      </c>
      <c r="B123" s="42">
        <v>45566</v>
      </c>
      <c r="C123" s="37">
        <f t="shared" si="97"/>
        <v>45.485979514375082</v>
      </c>
      <c r="D123" s="37">
        <f>P123+Q123+R123</f>
        <v>46.593780309144165</v>
      </c>
      <c r="E123" s="35"/>
      <c r="F123" s="38">
        <v>6500</v>
      </c>
      <c r="G123" s="38">
        <v>2090</v>
      </c>
      <c r="H123" s="38">
        <v>697</v>
      </c>
      <c r="I123" s="37">
        <f>(F123-'Processing costs'!C123)*100/19900</f>
        <v>30.949748743718594</v>
      </c>
      <c r="J123" s="37">
        <f>((G123-103)-'Processing costs'!E123)*100/203600</f>
        <v>0.69891944990176813</v>
      </c>
      <c r="K123" s="37">
        <f>(G123-'Processing costs'!D123-H123*8.5%)*100/10600</f>
        <v>13.837311320754717</v>
      </c>
      <c r="L123" s="35"/>
      <c r="M123" s="38">
        <v>4300</v>
      </c>
      <c r="N123" s="38">
        <f>918.05/1.171</f>
        <v>783.98804440649008</v>
      </c>
      <c r="O123" s="38">
        <f t="shared" ref="O123" si="100">F123-300</f>
        <v>6200</v>
      </c>
      <c r="P123" s="37">
        <f>(M123-'Processing costs'!G123)*100/9100</f>
        <v>42.274725274725277</v>
      </c>
      <c r="Q123" s="37">
        <f>(N123-'Processing costs'!H123)*100/16700</f>
        <v>1.4610062539310784</v>
      </c>
      <c r="R123" s="37">
        <f>(O123-'Processing costs'!I123)*100/205000</f>
        <v>2.8580487804878048</v>
      </c>
      <c r="S123" s="16"/>
      <c r="T123" s="16"/>
      <c r="U123" s="16"/>
      <c r="V123" s="16"/>
      <c r="W123" s="16"/>
      <c r="X123" s="16"/>
      <c r="Y123" s="16"/>
      <c r="Z123" s="16"/>
      <c r="AA123" s="16"/>
      <c r="AB123" s="16"/>
      <c r="AC123" s="16"/>
      <c r="AD123" s="16"/>
      <c r="AE123" s="16"/>
      <c r="AF123" s="16"/>
      <c r="AG123" s="16"/>
      <c r="AH123" s="16"/>
      <c r="AI123" s="16"/>
      <c r="AJ123" s="16"/>
      <c r="AK123" s="16"/>
      <c r="AL123" s="16"/>
      <c r="AM123" s="16"/>
      <c r="AN123" s="16"/>
      <c r="AO123" s="16"/>
      <c r="AP123" s="16"/>
      <c r="AQ123" s="16"/>
      <c r="AR123" s="16"/>
      <c r="AS123" s="16"/>
    </row>
    <row r="124" spans="1:45" x14ac:dyDescent="0.35">
      <c r="A124" s="92"/>
      <c r="B124" s="41">
        <v>45597</v>
      </c>
      <c r="C124" s="34">
        <f t="shared" si="97"/>
        <v>46.215459078484066</v>
      </c>
      <c r="D124" s="34">
        <f>P124+Q124+R124</f>
        <v>45.492016666853175</v>
      </c>
      <c r="E124" s="35"/>
      <c r="F124" s="36">
        <v>6630</v>
      </c>
      <c r="G124" s="36">
        <v>2100</v>
      </c>
      <c r="H124" s="36">
        <v>725.72971816376253</v>
      </c>
      <c r="I124" s="34">
        <f>(F124-'Processing costs'!C124)*100/19900</f>
        <v>31.603015075376884</v>
      </c>
      <c r="J124" s="34">
        <f>((G124-103)-'Processing costs'!E124)*100/203600</f>
        <v>0.7038310412573674</v>
      </c>
      <c r="K124" s="34">
        <f>(G124-'Processing costs'!D124-H124*8.5%)*100/10600</f>
        <v>13.908612961849812</v>
      </c>
      <c r="L124" s="35"/>
      <c r="M124" s="36">
        <v>4190</v>
      </c>
      <c r="N124" s="36">
        <f>924.205/1.168</f>
        <v>791.27140410958907</v>
      </c>
      <c r="O124" s="36">
        <f>F124-300</f>
        <v>6330</v>
      </c>
      <c r="P124" s="34">
        <f>(M124-'Processing costs'!G124)*100/9100</f>
        <v>41.065934065934066</v>
      </c>
      <c r="Q124" s="34">
        <f>(N124-'Processing costs'!H124)*100/16700</f>
        <v>1.5046191862849645</v>
      </c>
      <c r="R124" s="34">
        <f>(O124-'Processing costs'!I124)*100/205000</f>
        <v>2.9214634146341463</v>
      </c>
      <c r="S124" s="16"/>
      <c r="T124" s="16"/>
      <c r="U124" s="16"/>
      <c r="V124" s="16"/>
      <c r="W124" s="16"/>
      <c r="X124" s="16"/>
      <c r="Y124" s="16"/>
      <c r="Z124" s="16"/>
      <c r="AA124" s="16"/>
      <c r="AB124" s="16"/>
      <c r="AC124" s="16"/>
      <c r="AD124" s="16"/>
      <c r="AE124" s="16"/>
      <c r="AF124" s="16"/>
      <c r="AG124" s="16"/>
      <c r="AH124" s="16"/>
      <c r="AI124" s="16"/>
      <c r="AJ124" s="16"/>
      <c r="AK124" s="16"/>
      <c r="AL124" s="16"/>
      <c r="AM124" s="16"/>
      <c r="AN124" s="16"/>
      <c r="AO124" s="16"/>
      <c r="AP124" s="16"/>
      <c r="AQ124" s="16"/>
      <c r="AR124" s="16"/>
      <c r="AS124" s="16"/>
    </row>
    <row r="125" spans="1:45" x14ac:dyDescent="0.35">
      <c r="A125" s="92"/>
      <c r="B125" s="42">
        <v>45627</v>
      </c>
      <c r="C125" s="37">
        <f t="shared" si="97"/>
        <v>45.388852640082959</v>
      </c>
      <c r="D125" s="37">
        <f>P125+Q125+R125</f>
        <v>44.400510877929086</v>
      </c>
      <c r="E125" s="35"/>
      <c r="F125" s="38">
        <v>6470</v>
      </c>
      <c r="G125" s="38">
        <v>2100</v>
      </c>
      <c r="H125" s="38">
        <v>753.89621013142096</v>
      </c>
      <c r="I125" s="37">
        <f>(F125-'Processing costs'!C125)*100/19900</f>
        <v>30.798994974874372</v>
      </c>
      <c r="J125" s="37">
        <f>((G125-103)-'Processing costs'!E125)*100/203600</f>
        <v>0.7038310412573674</v>
      </c>
      <c r="K125" s="37">
        <f>(G125-'Processing costs'!D125-H125*8.5%)*100/10600</f>
        <v>13.886026623951219</v>
      </c>
      <c r="L125" s="35"/>
      <c r="M125" s="38">
        <v>4080</v>
      </c>
      <c r="N125" s="38">
        <f>963.13/1.169</f>
        <v>823.8922155688623</v>
      </c>
      <c r="O125" s="38">
        <f>F125-300</f>
        <v>6170</v>
      </c>
      <c r="P125" s="37">
        <f>(M125-'Processing costs'!G125)*100/9100</f>
        <v>39.857142857142854</v>
      </c>
      <c r="Q125" s="37">
        <f>(N125-'Processing costs'!H125)*100/16700</f>
        <v>1.6999533866398939</v>
      </c>
      <c r="R125" s="37">
        <f>(O125-'Processing costs'!I125)*100/205000</f>
        <v>2.8434146341463413</v>
      </c>
      <c r="S125" s="16"/>
      <c r="T125" s="16"/>
      <c r="U125" s="16"/>
      <c r="V125" s="16"/>
      <c r="W125" s="16"/>
      <c r="X125" s="16"/>
      <c r="Y125" s="16"/>
      <c r="Z125" s="16"/>
      <c r="AA125" s="16"/>
      <c r="AB125" s="16"/>
      <c r="AC125" s="16"/>
      <c r="AD125" s="16"/>
      <c r="AE125" s="16"/>
      <c r="AF125" s="16"/>
      <c r="AG125" s="16"/>
      <c r="AH125" s="16"/>
      <c r="AI125" s="16"/>
      <c r="AJ125" s="16"/>
      <c r="AK125" s="16"/>
      <c r="AL125" s="16"/>
      <c r="AM125" s="16"/>
      <c r="AN125" s="16"/>
      <c r="AO125" s="16"/>
      <c r="AP125" s="16"/>
      <c r="AQ125" s="16"/>
      <c r="AR125" s="16"/>
      <c r="AS125" s="16"/>
    </row>
    <row r="126" spans="1:45" x14ac:dyDescent="0.35">
      <c r="A126" s="92" t="s">
        <v>53</v>
      </c>
      <c r="B126" s="41">
        <v>45658</v>
      </c>
      <c r="C126" s="34">
        <f t="shared" si="97"/>
        <v>44.01254105768119</v>
      </c>
      <c r="D126" s="34">
        <f>P126+Q126+R126</f>
        <v>43.524704229809892</v>
      </c>
      <c r="E126" s="35"/>
      <c r="F126" s="36">
        <v>6180</v>
      </c>
      <c r="G126" s="36">
        <v>2090</v>
      </c>
      <c r="H126" s="36">
        <v>777</v>
      </c>
      <c r="I126" s="34">
        <f>(F126-'Processing costs'!C126)*100/19900</f>
        <v>29.361809045226131</v>
      </c>
      <c r="J126" s="34">
        <f>((G126-103)-'Processing costs'!E126)*100/203600</f>
        <v>0.70776031434184672</v>
      </c>
      <c r="K126" s="34">
        <f>(G126-'Processing costs'!D126-H126*8.5%)*100/10600</f>
        <v>13.942971698113208</v>
      </c>
      <c r="L126" s="35"/>
      <c r="M126" s="36">
        <v>3990</v>
      </c>
      <c r="N126" s="36">
        <f>971.78/1.168</f>
        <v>832.00342465753431</v>
      </c>
      <c r="O126" s="36">
        <f>F126-300</f>
        <v>5880</v>
      </c>
      <c r="P126" s="34">
        <f>(M126-'Processing costs'!G126)*100/9100</f>
        <v>38.934065934065934</v>
      </c>
      <c r="Q126" s="34">
        <f>(N126-'Processing costs'!H126)*100/16700</f>
        <v>1.8862480518415228</v>
      </c>
      <c r="R126" s="34">
        <f>(O126-'Processing costs'!I126)*100/205000</f>
        <v>2.7043902439024392</v>
      </c>
      <c r="S126" s="16"/>
      <c r="T126" s="16"/>
      <c r="U126" s="16"/>
      <c r="V126" s="16"/>
      <c r="W126" s="16"/>
      <c r="X126" s="16"/>
      <c r="Y126" s="16"/>
      <c r="Z126" s="16"/>
      <c r="AA126" s="16"/>
      <c r="AB126" s="16"/>
      <c r="AC126" s="16"/>
      <c r="AD126" s="16"/>
      <c r="AE126" s="16"/>
      <c r="AF126" s="16"/>
      <c r="AG126" s="16"/>
      <c r="AH126" s="16"/>
      <c r="AI126" s="16"/>
      <c r="AJ126" s="16"/>
      <c r="AK126" s="16"/>
      <c r="AL126" s="16"/>
      <c r="AM126" s="16"/>
      <c r="AN126" s="16"/>
      <c r="AO126" s="16"/>
      <c r="AP126" s="16"/>
      <c r="AQ126" s="16"/>
      <c r="AR126" s="16"/>
      <c r="AS126" s="16"/>
    </row>
    <row r="127" spans="1:45" x14ac:dyDescent="0.3">
      <c r="B127" s="42">
        <v>45689</v>
      </c>
      <c r="C127" s="37">
        <f>I127+J127+K127</f>
        <v>41.995212160535786</v>
      </c>
      <c r="D127" s="37">
        <f>P127+Q127+R127</f>
        <v>43.246118358836782</v>
      </c>
      <c r="E127" s="35"/>
      <c r="F127" s="38">
        <v>5920</v>
      </c>
      <c r="G127" s="38">
        <v>2020</v>
      </c>
      <c r="H127" s="38">
        <v>797</v>
      </c>
      <c r="I127" s="37">
        <f>(F127-'Processing costs'!C127)*100/19900</f>
        <v>28.055276381909547</v>
      </c>
      <c r="J127" s="37">
        <f>((G127-103)-'Processing costs'!E127)*100/203600</f>
        <v>0.67337917485265231</v>
      </c>
      <c r="K127" s="37">
        <f>(G127-'Processing costs'!D127-H127*8.5%)*100/10600</f>
        <v>13.266556603773585</v>
      </c>
      <c r="L127" s="35"/>
      <c r="M127" s="38">
        <v>3960</v>
      </c>
      <c r="N127" s="38">
        <f>1009.93/1.172</f>
        <v>861.71501706484639</v>
      </c>
      <c r="O127" s="38">
        <f>F127-300</f>
        <v>5620</v>
      </c>
      <c r="P127" s="37">
        <f>(M127-'Processing costs'!G127)*100/9100</f>
        <v>38.604395604395606</v>
      </c>
      <c r="Q127" s="37">
        <f>(N127-'Processing costs'!H127)*100/16700</f>
        <v>2.0641617788314157</v>
      </c>
      <c r="R127" s="37">
        <f>(O127-'Processing costs'!I127)*100/205000</f>
        <v>2.5775609756097562</v>
      </c>
      <c r="S127" s="16"/>
      <c r="T127" s="16"/>
      <c r="U127" s="16"/>
      <c r="V127" s="16"/>
      <c r="W127" s="16"/>
      <c r="X127" s="16"/>
      <c r="Y127" s="16"/>
      <c r="Z127" s="16"/>
      <c r="AA127" s="16"/>
      <c r="AB127" s="16"/>
      <c r="AC127" s="16"/>
      <c r="AD127" s="16"/>
      <c r="AE127" s="16"/>
      <c r="AF127" s="16"/>
      <c r="AG127" s="16"/>
      <c r="AH127" s="16"/>
      <c r="AI127" s="16"/>
      <c r="AJ127" s="16"/>
      <c r="AK127" s="16"/>
      <c r="AL127" s="16"/>
      <c r="AM127" s="16"/>
      <c r="AN127" s="16"/>
      <c r="AO127" s="16"/>
      <c r="AP127" s="16"/>
      <c r="AQ127" s="16"/>
      <c r="AR127" s="16"/>
      <c r="AS127" s="16"/>
    </row>
    <row r="128" spans="1:45" x14ac:dyDescent="0.3">
      <c r="B128" s="41">
        <v>45717</v>
      </c>
      <c r="C128" s="34">
        <f t="shared" ref="C128" si="101">I128+J128+K128</f>
        <v>42.66095620585412</v>
      </c>
      <c r="D128" s="34">
        <f>P128+Q128+R128</f>
        <v>44.058692342822617</v>
      </c>
      <c r="E128" s="35"/>
      <c r="F128" s="36">
        <v>6070</v>
      </c>
      <c r="G128" s="36">
        <v>2010</v>
      </c>
      <c r="H128" s="36">
        <v>783</v>
      </c>
      <c r="I128" s="34">
        <f>(F128-'Processing costs'!C128)*100/19900</f>
        <v>28.809045226130653</v>
      </c>
      <c r="J128" s="34">
        <f>((G128-103)-'Processing costs'!E128)*100/203600</f>
        <v>0.66846758349705304</v>
      </c>
      <c r="K128" s="34">
        <f>(G128-'Processing costs'!D128-H128*8.5%)*100/10600</f>
        <v>13.183443396226416</v>
      </c>
      <c r="L128" s="35"/>
      <c r="M128" s="36">
        <v>4020</v>
      </c>
      <c r="N128" s="36">
        <f>1023.85/1.17</f>
        <v>875.08547008547021</v>
      </c>
      <c r="O128" s="36">
        <f>F128-300</f>
        <v>5770</v>
      </c>
      <c r="P128" s="34">
        <f>(M128-'Processing costs'!G128)*100/9100</f>
        <v>39.263736263736263</v>
      </c>
      <c r="Q128" s="34">
        <f>(N128-'Processing costs'!H128)*100/16700</f>
        <v>2.1442243717692828</v>
      </c>
      <c r="R128" s="34">
        <f>(O128-'Processing costs'!I128)*100/205000</f>
        <v>2.6507317073170733</v>
      </c>
      <c r="S128" s="16"/>
      <c r="T128" s="16"/>
      <c r="U128" s="16"/>
      <c r="V128" s="16"/>
      <c r="W128" s="16"/>
      <c r="X128" s="16"/>
      <c r="Y128" s="16"/>
      <c r="Z128" s="16"/>
      <c r="AA128" s="16"/>
      <c r="AB128" s="16"/>
      <c r="AC128" s="16"/>
      <c r="AD128" s="16"/>
      <c r="AE128" s="16"/>
      <c r="AF128" s="16"/>
      <c r="AG128" s="16"/>
      <c r="AH128" s="16"/>
      <c r="AI128" s="16"/>
      <c r="AJ128" s="16"/>
      <c r="AK128" s="16"/>
      <c r="AL128" s="16"/>
      <c r="AM128" s="16"/>
      <c r="AN128" s="16"/>
      <c r="AO128" s="16"/>
      <c r="AP128" s="16"/>
      <c r="AQ128" s="16"/>
      <c r="AR128" s="16"/>
      <c r="AS128" s="16"/>
    </row>
    <row r="129" spans="1:45" x14ac:dyDescent="0.3">
      <c r="B129" s="16"/>
      <c r="C129" s="16"/>
      <c r="D129" s="16"/>
      <c r="E129" s="16"/>
      <c r="F129" s="24"/>
      <c r="G129" s="24"/>
      <c r="H129" s="24"/>
      <c r="I129" s="24"/>
      <c r="J129" s="24"/>
      <c r="K129" s="24"/>
      <c r="L129" s="16"/>
      <c r="M129" s="93"/>
      <c r="N129" s="88"/>
      <c r="O129" s="16"/>
      <c r="P129" s="16"/>
      <c r="Q129" s="16"/>
      <c r="R129" s="16"/>
      <c r="S129" s="16"/>
      <c r="T129" s="16"/>
      <c r="U129" s="16"/>
      <c r="V129" s="16"/>
      <c r="W129" s="16"/>
      <c r="X129" s="16"/>
      <c r="Y129" s="16"/>
      <c r="Z129" s="16"/>
      <c r="AA129" s="16"/>
      <c r="AB129" s="16"/>
      <c r="AC129" s="16"/>
      <c r="AD129" s="16"/>
      <c r="AE129" s="16"/>
      <c r="AF129" s="16"/>
      <c r="AG129" s="16"/>
      <c r="AH129" s="16"/>
      <c r="AI129" s="16"/>
      <c r="AJ129" s="16"/>
      <c r="AK129" s="16"/>
      <c r="AL129" s="16"/>
      <c r="AM129" s="16"/>
      <c r="AN129" s="16"/>
      <c r="AO129" s="16"/>
      <c r="AP129" s="16"/>
      <c r="AQ129" s="16"/>
      <c r="AR129" s="16"/>
      <c r="AS129" s="16"/>
    </row>
    <row r="130" spans="1:45" x14ac:dyDescent="0.3">
      <c r="A130" s="16" t="s">
        <v>58</v>
      </c>
      <c r="B130" s="16"/>
      <c r="C130" s="16"/>
      <c r="D130" s="16"/>
      <c r="E130" s="16"/>
      <c r="F130" s="24"/>
      <c r="G130" s="24"/>
      <c r="H130" s="24"/>
      <c r="I130" s="24"/>
      <c r="J130" s="24"/>
      <c r="K130" s="24"/>
      <c r="L130" s="16"/>
      <c r="M130" s="16"/>
      <c r="N130" s="16"/>
      <c r="O130" s="16"/>
      <c r="P130" s="16"/>
      <c r="Q130" s="16"/>
      <c r="R130" s="16"/>
      <c r="S130" s="16"/>
      <c r="T130" s="16"/>
      <c r="U130" s="16"/>
      <c r="V130" s="16"/>
      <c r="W130" s="16"/>
      <c r="X130" s="16"/>
      <c r="Y130" s="16"/>
      <c r="Z130" s="16"/>
      <c r="AA130" s="16"/>
      <c r="AB130" s="16"/>
      <c r="AC130" s="16"/>
      <c r="AD130" s="16"/>
      <c r="AE130" s="16"/>
      <c r="AF130" s="16"/>
      <c r="AG130" s="16"/>
      <c r="AH130" s="16"/>
      <c r="AI130" s="16"/>
      <c r="AJ130" s="16"/>
      <c r="AK130" s="16"/>
      <c r="AL130" s="16"/>
      <c r="AM130" s="16"/>
      <c r="AN130" s="16"/>
      <c r="AO130" s="16"/>
      <c r="AP130" s="16"/>
      <c r="AQ130" s="16"/>
      <c r="AR130" s="16"/>
      <c r="AS130" s="16"/>
    </row>
    <row r="131" spans="1:45" x14ac:dyDescent="0.3">
      <c r="B131" s="16"/>
      <c r="C131" s="16"/>
      <c r="D131" s="16"/>
      <c r="E131" s="16"/>
      <c r="F131" s="24">
        <f>F109/F108-1</f>
        <v>-2.9023746701846931E-2</v>
      </c>
      <c r="G131" s="24"/>
      <c r="H131" s="24"/>
      <c r="I131" s="24"/>
      <c r="J131" s="24"/>
      <c r="K131" s="24"/>
      <c r="L131" s="16"/>
      <c r="M131" s="16"/>
      <c r="N131" s="16"/>
      <c r="O131" s="16"/>
      <c r="P131" s="16"/>
      <c r="Q131" s="16"/>
      <c r="R131" s="16"/>
      <c r="S131" s="16"/>
      <c r="T131" s="16"/>
      <c r="U131" s="16"/>
      <c r="V131" s="16"/>
      <c r="W131" s="16"/>
      <c r="X131" s="16"/>
      <c r="Y131" s="16"/>
      <c r="Z131" s="16"/>
      <c r="AA131" s="16"/>
      <c r="AB131" s="16"/>
      <c r="AC131" s="16"/>
      <c r="AD131" s="16"/>
      <c r="AE131" s="16"/>
      <c r="AF131" s="16"/>
      <c r="AG131" s="16"/>
      <c r="AH131" s="16"/>
      <c r="AI131" s="16"/>
      <c r="AJ131" s="16"/>
      <c r="AK131" s="16"/>
      <c r="AL131" s="16"/>
      <c r="AM131" s="16"/>
      <c r="AN131" s="16"/>
      <c r="AO131" s="16"/>
      <c r="AP131" s="16"/>
      <c r="AQ131" s="16"/>
      <c r="AR131" s="16"/>
      <c r="AS131" s="16"/>
    </row>
    <row r="132" spans="1:45" x14ac:dyDescent="0.3">
      <c r="B132" s="16"/>
      <c r="C132" s="16"/>
      <c r="D132" s="16"/>
      <c r="E132" s="16"/>
      <c r="F132" s="24"/>
      <c r="G132" s="24"/>
      <c r="H132" s="24"/>
      <c r="I132" s="24"/>
      <c r="J132" s="24"/>
      <c r="K132" s="24"/>
      <c r="L132" s="16"/>
      <c r="M132" s="16"/>
      <c r="N132" s="16"/>
      <c r="O132" s="16"/>
      <c r="P132" s="16"/>
      <c r="Q132" s="16"/>
      <c r="R132" s="16"/>
      <c r="S132" s="16"/>
      <c r="T132" s="16"/>
      <c r="U132" s="16"/>
      <c r="V132" s="16"/>
      <c r="W132" s="16"/>
      <c r="X132" s="16"/>
      <c r="Y132" s="16"/>
      <c r="Z132" s="16"/>
      <c r="AA132" s="16"/>
      <c r="AB132" s="16"/>
      <c r="AC132" s="16"/>
      <c r="AD132" s="16"/>
      <c r="AE132" s="16"/>
      <c r="AF132" s="16"/>
      <c r="AG132" s="16"/>
      <c r="AH132" s="16"/>
      <c r="AI132" s="16"/>
      <c r="AJ132" s="16"/>
      <c r="AK132" s="16"/>
      <c r="AL132" s="16"/>
      <c r="AM132" s="16"/>
      <c r="AN132" s="16"/>
      <c r="AO132" s="16"/>
      <c r="AP132" s="16"/>
      <c r="AQ132" s="16"/>
      <c r="AR132" s="16"/>
      <c r="AS132" s="16"/>
    </row>
    <row r="133" spans="1:45" x14ac:dyDescent="0.3">
      <c r="B133" s="16"/>
      <c r="C133" s="16"/>
      <c r="D133" s="16"/>
      <c r="E133" s="16"/>
      <c r="F133" s="24"/>
      <c r="G133" s="24"/>
      <c r="H133" s="24"/>
      <c r="I133" s="24"/>
      <c r="J133" s="24"/>
      <c r="K133" s="24"/>
      <c r="L133" s="16"/>
      <c r="M133" s="16"/>
      <c r="N133" s="16"/>
      <c r="O133" s="16"/>
      <c r="P133" s="16"/>
      <c r="Q133" s="16"/>
      <c r="R133" s="16"/>
      <c r="S133" s="16"/>
      <c r="T133" s="16"/>
      <c r="U133" s="16"/>
      <c r="V133" s="16"/>
      <c r="W133" s="16"/>
      <c r="X133" s="16"/>
      <c r="Y133" s="16"/>
      <c r="Z133" s="16"/>
      <c r="AA133" s="16"/>
      <c r="AB133" s="16"/>
      <c r="AC133" s="16"/>
      <c r="AD133" s="16"/>
      <c r="AE133" s="16"/>
      <c r="AF133" s="16"/>
      <c r="AG133" s="16"/>
      <c r="AH133" s="16"/>
      <c r="AI133" s="16"/>
      <c r="AJ133" s="16"/>
      <c r="AK133" s="16"/>
      <c r="AL133" s="16"/>
      <c r="AM133" s="16"/>
      <c r="AN133" s="16"/>
      <c r="AO133" s="16"/>
      <c r="AP133" s="16"/>
      <c r="AQ133" s="16"/>
      <c r="AR133" s="16"/>
      <c r="AS133" s="16"/>
    </row>
    <row r="134" spans="1:45" x14ac:dyDescent="0.3">
      <c r="B134" s="16"/>
      <c r="C134" s="16"/>
      <c r="D134" s="16"/>
      <c r="E134" s="16"/>
      <c r="F134" s="24"/>
      <c r="G134" s="24"/>
      <c r="H134" s="24"/>
      <c r="I134" s="24"/>
      <c r="J134" s="24"/>
      <c r="K134" s="24"/>
      <c r="L134" s="16"/>
      <c r="M134" s="16"/>
      <c r="N134" s="16"/>
      <c r="O134" s="16"/>
      <c r="P134" s="16"/>
      <c r="Q134" s="16"/>
      <c r="R134" s="16"/>
      <c r="S134" s="16"/>
      <c r="T134" s="16"/>
      <c r="U134" s="16"/>
      <c r="V134" s="16"/>
      <c r="W134" s="16"/>
      <c r="X134" s="16"/>
      <c r="Y134" s="16"/>
      <c r="Z134" s="16"/>
      <c r="AA134" s="16"/>
      <c r="AB134" s="16"/>
      <c r="AC134" s="16"/>
      <c r="AD134" s="16"/>
      <c r="AE134" s="16"/>
      <c r="AF134" s="16"/>
      <c r="AG134" s="16"/>
      <c r="AH134" s="16"/>
      <c r="AI134" s="16"/>
      <c r="AJ134" s="16"/>
      <c r="AK134" s="16"/>
      <c r="AL134" s="16"/>
      <c r="AM134" s="16"/>
      <c r="AN134" s="16"/>
      <c r="AO134" s="16"/>
      <c r="AP134" s="16"/>
      <c r="AQ134" s="16"/>
      <c r="AR134" s="16"/>
      <c r="AS134" s="16"/>
    </row>
    <row r="135" spans="1:45" x14ac:dyDescent="0.3">
      <c r="B135" s="16"/>
      <c r="C135" s="16"/>
      <c r="D135" s="16"/>
      <c r="E135" s="16"/>
      <c r="F135" s="24"/>
      <c r="G135" s="24"/>
      <c r="H135" s="24"/>
      <c r="I135" s="24"/>
      <c r="J135" s="24"/>
      <c r="K135" s="24"/>
      <c r="L135" s="16"/>
      <c r="M135" s="16"/>
      <c r="N135" s="16"/>
      <c r="O135" s="16"/>
      <c r="P135" s="16"/>
      <c r="Q135" s="16"/>
      <c r="R135" s="16"/>
      <c r="S135" s="16"/>
      <c r="T135" s="16"/>
      <c r="U135" s="16"/>
      <c r="V135" s="16"/>
      <c r="W135" s="16"/>
      <c r="X135" s="16"/>
      <c r="Y135" s="16"/>
      <c r="Z135" s="16"/>
      <c r="AA135" s="16"/>
      <c r="AB135" s="16"/>
      <c r="AC135" s="16"/>
      <c r="AD135" s="16"/>
      <c r="AE135" s="16"/>
      <c r="AF135" s="16"/>
      <c r="AG135" s="16"/>
      <c r="AH135" s="16"/>
      <c r="AI135" s="16"/>
      <c r="AJ135" s="16"/>
      <c r="AK135" s="16"/>
      <c r="AL135" s="16"/>
      <c r="AM135" s="16"/>
      <c r="AN135" s="16"/>
      <c r="AO135" s="16"/>
      <c r="AP135" s="16"/>
      <c r="AQ135" s="16"/>
      <c r="AR135" s="16"/>
      <c r="AS135" s="16"/>
    </row>
    <row r="136" spans="1:45" x14ac:dyDescent="0.3">
      <c r="B136" s="16"/>
      <c r="C136" s="16"/>
      <c r="D136" s="16"/>
      <c r="E136" s="16"/>
      <c r="F136" s="24"/>
      <c r="G136" s="24"/>
      <c r="H136" s="24"/>
      <c r="I136" s="24"/>
      <c r="J136" s="24"/>
      <c r="K136" s="24"/>
      <c r="L136" s="16"/>
      <c r="M136" s="16"/>
      <c r="N136" s="16"/>
      <c r="O136" s="16"/>
      <c r="P136" s="16"/>
      <c r="Q136" s="16"/>
      <c r="R136" s="16"/>
      <c r="S136" s="16"/>
      <c r="T136" s="16"/>
      <c r="U136" s="16"/>
      <c r="V136" s="16"/>
      <c r="W136" s="16"/>
      <c r="X136" s="16"/>
      <c r="Y136" s="16"/>
      <c r="Z136" s="16"/>
      <c r="AA136" s="16"/>
      <c r="AB136" s="16"/>
      <c r="AC136" s="16"/>
      <c r="AD136" s="16"/>
      <c r="AE136" s="16"/>
      <c r="AF136" s="16"/>
      <c r="AG136" s="16"/>
      <c r="AH136" s="16"/>
      <c r="AI136" s="16"/>
      <c r="AJ136" s="16"/>
      <c r="AK136" s="16"/>
      <c r="AL136" s="16"/>
      <c r="AM136" s="16"/>
      <c r="AN136" s="16"/>
      <c r="AO136" s="16"/>
      <c r="AP136" s="16"/>
      <c r="AQ136" s="16"/>
      <c r="AR136" s="16"/>
      <c r="AS136" s="16"/>
    </row>
    <row r="137" spans="1:45" x14ac:dyDescent="0.3">
      <c r="B137" s="16"/>
      <c r="C137" s="16"/>
      <c r="D137" s="16"/>
      <c r="E137" s="16"/>
      <c r="F137" s="24"/>
      <c r="G137" s="24"/>
      <c r="H137" s="24"/>
      <c r="I137" s="24"/>
      <c r="J137" s="24"/>
      <c r="K137" s="24"/>
      <c r="L137" s="16"/>
      <c r="M137" s="16"/>
      <c r="N137" s="16"/>
      <c r="O137" s="16"/>
      <c r="P137" s="16"/>
      <c r="Q137" s="16"/>
      <c r="R137" s="16"/>
      <c r="S137" s="16"/>
      <c r="T137" s="16"/>
      <c r="U137" s="16"/>
      <c r="V137" s="16"/>
      <c r="W137" s="16"/>
      <c r="X137" s="16"/>
      <c r="Y137" s="16"/>
      <c r="Z137" s="16"/>
      <c r="AA137" s="16"/>
      <c r="AB137" s="16"/>
      <c r="AC137" s="16"/>
      <c r="AD137" s="16"/>
      <c r="AE137" s="16"/>
      <c r="AF137" s="16"/>
      <c r="AG137" s="16"/>
      <c r="AH137" s="16"/>
      <c r="AI137" s="16"/>
      <c r="AJ137" s="16"/>
      <c r="AK137" s="16"/>
      <c r="AL137" s="16"/>
      <c r="AM137" s="16"/>
      <c r="AN137" s="16"/>
      <c r="AO137" s="16"/>
      <c r="AP137" s="16"/>
      <c r="AQ137" s="16"/>
      <c r="AR137" s="16"/>
      <c r="AS137" s="16"/>
    </row>
    <row r="138" spans="1:45" x14ac:dyDescent="0.3">
      <c r="B138" s="16"/>
      <c r="C138" s="16"/>
      <c r="D138" s="16"/>
      <c r="E138" s="16"/>
      <c r="F138" s="24"/>
      <c r="G138" s="24"/>
      <c r="H138" s="24"/>
      <c r="I138" s="24"/>
      <c r="J138" s="24"/>
      <c r="K138" s="24"/>
      <c r="L138" s="16"/>
      <c r="M138" s="16"/>
      <c r="N138" s="16"/>
      <c r="O138" s="16"/>
      <c r="P138" s="16"/>
      <c r="Q138" s="16"/>
      <c r="R138" s="16"/>
      <c r="S138" s="16"/>
      <c r="T138" s="16"/>
      <c r="U138" s="16"/>
      <c r="V138" s="16"/>
      <c r="W138" s="16"/>
      <c r="X138" s="16"/>
      <c r="Y138" s="16"/>
      <c r="Z138" s="16"/>
      <c r="AA138" s="16"/>
      <c r="AB138" s="16"/>
      <c r="AC138" s="16"/>
      <c r="AD138" s="16"/>
      <c r="AE138" s="16"/>
      <c r="AF138" s="16"/>
      <c r="AG138" s="16"/>
      <c r="AH138" s="16"/>
      <c r="AI138" s="16"/>
      <c r="AJ138" s="16"/>
      <c r="AK138" s="16"/>
      <c r="AL138" s="16"/>
      <c r="AM138" s="16"/>
      <c r="AN138" s="16"/>
      <c r="AO138" s="16"/>
      <c r="AP138" s="16"/>
      <c r="AQ138" s="16"/>
      <c r="AR138" s="16"/>
      <c r="AS138" s="16"/>
    </row>
    <row r="139" spans="1:45" x14ac:dyDescent="0.3">
      <c r="B139" s="16"/>
      <c r="C139" s="16"/>
      <c r="D139" s="16"/>
      <c r="E139" s="16"/>
      <c r="F139" s="24"/>
      <c r="G139" s="24"/>
      <c r="H139" s="24"/>
      <c r="I139" s="24"/>
      <c r="J139" s="24"/>
      <c r="K139" s="24"/>
      <c r="L139" s="16"/>
      <c r="M139" s="16"/>
      <c r="N139" s="16"/>
      <c r="O139" s="16"/>
      <c r="P139" s="16"/>
      <c r="Q139" s="16"/>
      <c r="R139" s="16"/>
      <c r="S139" s="16"/>
      <c r="T139" s="16"/>
      <c r="U139" s="16"/>
      <c r="V139" s="16"/>
      <c r="W139" s="16"/>
      <c r="X139" s="16"/>
      <c r="Y139" s="16"/>
      <c r="Z139" s="16"/>
      <c r="AA139" s="16"/>
      <c r="AB139" s="16"/>
      <c r="AC139" s="16"/>
      <c r="AD139" s="16"/>
      <c r="AE139" s="16"/>
      <c r="AF139" s="16"/>
      <c r="AG139" s="16"/>
      <c r="AH139" s="16"/>
      <c r="AI139" s="16"/>
      <c r="AJ139" s="16"/>
      <c r="AK139" s="16"/>
      <c r="AL139" s="16"/>
      <c r="AM139" s="16"/>
      <c r="AN139" s="16"/>
      <c r="AO139" s="16"/>
      <c r="AP139" s="16"/>
      <c r="AQ139" s="16"/>
      <c r="AR139" s="16"/>
      <c r="AS139" s="16"/>
    </row>
    <row r="140" spans="1:45" x14ac:dyDescent="0.3">
      <c r="B140" s="16"/>
      <c r="C140" s="16"/>
      <c r="D140" s="16"/>
      <c r="E140" s="16"/>
      <c r="F140" s="24"/>
      <c r="G140" s="24"/>
      <c r="H140" s="24"/>
      <c r="I140" s="24"/>
      <c r="J140" s="24"/>
      <c r="K140" s="24"/>
      <c r="L140" s="16"/>
      <c r="M140" s="16"/>
      <c r="N140" s="16"/>
      <c r="O140" s="16"/>
      <c r="P140" s="16"/>
      <c r="Q140" s="16"/>
      <c r="R140" s="16"/>
      <c r="S140" s="16"/>
      <c r="T140" s="16"/>
      <c r="U140" s="16"/>
      <c r="V140" s="16"/>
      <c r="W140" s="16"/>
      <c r="X140" s="16"/>
      <c r="Y140" s="16"/>
      <c r="Z140" s="16"/>
      <c r="AA140" s="16"/>
      <c r="AB140" s="16"/>
      <c r="AC140" s="16"/>
      <c r="AD140" s="16"/>
      <c r="AE140" s="16"/>
      <c r="AF140" s="16"/>
      <c r="AG140" s="16"/>
      <c r="AH140" s="16"/>
      <c r="AI140" s="16"/>
      <c r="AJ140" s="16"/>
      <c r="AK140" s="16"/>
      <c r="AL140" s="16"/>
      <c r="AM140" s="16"/>
      <c r="AN140" s="16"/>
      <c r="AO140" s="16"/>
      <c r="AP140" s="16"/>
      <c r="AQ140" s="16"/>
      <c r="AR140" s="16"/>
      <c r="AS140" s="16"/>
    </row>
    <row r="141" spans="1:45" x14ac:dyDescent="0.3">
      <c r="B141" s="16"/>
      <c r="C141" s="16"/>
      <c r="D141" s="16"/>
      <c r="E141" s="16"/>
      <c r="F141" s="24"/>
      <c r="G141" s="24"/>
      <c r="H141" s="24"/>
      <c r="I141" s="24"/>
      <c r="J141" s="24"/>
      <c r="K141" s="24"/>
      <c r="L141" s="16"/>
      <c r="M141" s="16"/>
      <c r="N141" s="16"/>
      <c r="O141" s="16"/>
      <c r="P141" s="16"/>
      <c r="Q141" s="16"/>
      <c r="R141" s="16"/>
      <c r="S141" s="16"/>
      <c r="T141" s="16"/>
      <c r="U141" s="16"/>
      <c r="V141" s="16"/>
      <c r="W141" s="16"/>
      <c r="X141" s="16"/>
      <c r="Y141" s="16"/>
      <c r="Z141" s="16"/>
      <c r="AA141" s="16"/>
      <c r="AB141" s="16"/>
      <c r="AC141" s="16"/>
      <c r="AD141" s="16"/>
      <c r="AE141" s="16"/>
      <c r="AF141" s="16"/>
      <c r="AG141" s="16"/>
      <c r="AH141" s="16"/>
      <c r="AI141" s="16"/>
      <c r="AJ141" s="16"/>
      <c r="AK141" s="16"/>
      <c r="AL141" s="16"/>
      <c r="AM141" s="16"/>
      <c r="AN141" s="16"/>
      <c r="AO141" s="16"/>
      <c r="AP141" s="16"/>
      <c r="AQ141" s="16"/>
      <c r="AR141" s="16"/>
      <c r="AS141" s="16"/>
    </row>
    <row r="142" spans="1:45" x14ac:dyDescent="0.3">
      <c r="B142" s="16"/>
      <c r="C142" s="16"/>
      <c r="D142" s="16"/>
      <c r="E142" s="16"/>
      <c r="F142" s="24"/>
      <c r="G142" s="24"/>
      <c r="H142" s="24"/>
      <c r="I142" s="24"/>
      <c r="J142" s="24"/>
      <c r="K142" s="24"/>
      <c r="L142" s="16"/>
      <c r="M142" s="16"/>
      <c r="N142" s="16"/>
      <c r="O142" s="16"/>
      <c r="P142" s="16"/>
      <c r="Q142" s="16"/>
      <c r="R142" s="16"/>
      <c r="S142" s="16"/>
      <c r="T142" s="16"/>
      <c r="U142" s="16"/>
      <c r="V142" s="16"/>
      <c r="W142" s="16"/>
      <c r="X142" s="16"/>
      <c r="Y142" s="16"/>
      <c r="Z142" s="16"/>
      <c r="AA142" s="16"/>
      <c r="AB142" s="16"/>
      <c r="AC142" s="16"/>
      <c r="AD142" s="16"/>
      <c r="AE142" s="16"/>
      <c r="AF142" s="16"/>
      <c r="AG142" s="16"/>
      <c r="AH142" s="16"/>
      <c r="AI142" s="16"/>
      <c r="AJ142" s="16"/>
      <c r="AK142" s="16"/>
      <c r="AL142" s="16"/>
      <c r="AM142" s="16"/>
      <c r="AN142" s="16"/>
      <c r="AO142" s="16"/>
      <c r="AP142" s="16"/>
      <c r="AQ142" s="16"/>
      <c r="AR142" s="16"/>
      <c r="AS142" s="16"/>
    </row>
    <row r="143" spans="1:45" x14ac:dyDescent="0.3">
      <c r="B143" s="16"/>
      <c r="C143" s="16"/>
      <c r="D143" s="16"/>
      <c r="E143" s="16"/>
      <c r="F143" s="24"/>
      <c r="G143" s="24"/>
      <c r="H143" s="24"/>
      <c r="I143" s="24"/>
      <c r="J143" s="24"/>
      <c r="K143" s="24"/>
      <c r="L143" s="16"/>
      <c r="M143" s="16"/>
      <c r="N143" s="16"/>
      <c r="O143" s="16"/>
      <c r="P143" s="16"/>
      <c r="Q143" s="16"/>
      <c r="R143" s="16"/>
      <c r="S143" s="16"/>
      <c r="T143" s="16"/>
      <c r="U143" s="16"/>
      <c r="V143" s="16"/>
      <c r="W143" s="16"/>
      <c r="X143" s="16"/>
      <c r="Y143" s="16"/>
      <c r="Z143" s="16"/>
      <c r="AA143" s="16"/>
      <c r="AB143" s="16"/>
      <c r="AC143" s="16"/>
      <c r="AD143" s="16"/>
      <c r="AE143" s="16"/>
      <c r="AF143" s="16"/>
      <c r="AG143" s="16"/>
      <c r="AH143" s="16"/>
      <c r="AI143" s="16"/>
      <c r="AJ143" s="16"/>
      <c r="AK143" s="16"/>
      <c r="AL143" s="16"/>
      <c r="AM143" s="16"/>
      <c r="AN143" s="16"/>
      <c r="AO143" s="16"/>
      <c r="AP143" s="16"/>
      <c r="AQ143" s="16"/>
      <c r="AR143" s="16"/>
      <c r="AS143" s="16"/>
    </row>
    <row r="144" spans="1:45" x14ac:dyDescent="0.3">
      <c r="B144" s="16"/>
      <c r="C144" s="16"/>
      <c r="D144" s="16"/>
      <c r="E144" s="16"/>
      <c r="F144" s="24"/>
      <c r="G144" s="24"/>
      <c r="H144" s="24"/>
      <c r="I144" s="24"/>
      <c r="J144" s="24"/>
      <c r="K144" s="24"/>
      <c r="L144" s="16"/>
      <c r="M144" s="16"/>
      <c r="N144" s="16"/>
      <c r="O144" s="16"/>
      <c r="P144" s="16"/>
      <c r="Q144" s="16"/>
      <c r="R144" s="16"/>
      <c r="S144" s="16"/>
      <c r="T144" s="16"/>
      <c r="U144" s="16"/>
      <c r="V144" s="16"/>
      <c r="W144" s="16"/>
      <c r="X144" s="16"/>
      <c r="Y144" s="16"/>
      <c r="Z144" s="16"/>
      <c r="AA144" s="16"/>
      <c r="AB144" s="16"/>
      <c r="AC144" s="16"/>
      <c r="AD144" s="16"/>
      <c r="AE144" s="16"/>
      <c r="AF144" s="16"/>
      <c r="AG144" s="16"/>
      <c r="AH144" s="16"/>
      <c r="AI144" s="16"/>
      <c r="AJ144" s="16"/>
      <c r="AK144" s="16"/>
      <c r="AL144" s="16"/>
      <c r="AM144" s="16"/>
      <c r="AN144" s="16"/>
      <c r="AO144" s="16"/>
      <c r="AP144" s="16"/>
      <c r="AQ144" s="16"/>
      <c r="AR144" s="16"/>
      <c r="AS144" s="16"/>
    </row>
    <row r="145" spans="2:45" x14ac:dyDescent="0.3">
      <c r="B145" s="16"/>
      <c r="C145" s="16"/>
      <c r="D145" s="16"/>
      <c r="E145" s="16"/>
      <c r="F145" s="24"/>
      <c r="G145" s="24"/>
      <c r="H145" s="24"/>
      <c r="I145" s="24"/>
      <c r="J145" s="24"/>
      <c r="K145" s="24"/>
      <c r="L145" s="16"/>
      <c r="M145" s="16"/>
      <c r="N145" s="16"/>
      <c r="O145" s="16"/>
      <c r="P145" s="16"/>
      <c r="Q145" s="16"/>
      <c r="R145" s="16"/>
      <c r="S145" s="16"/>
      <c r="T145" s="16"/>
      <c r="U145" s="16"/>
      <c r="V145" s="16"/>
      <c r="W145" s="16"/>
      <c r="X145" s="16"/>
      <c r="Y145" s="16"/>
      <c r="Z145" s="16"/>
      <c r="AA145" s="16"/>
      <c r="AB145" s="16"/>
      <c r="AC145" s="16"/>
      <c r="AD145" s="16"/>
      <c r="AE145" s="16"/>
      <c r="AF145" s="16"/>
      <c r="AG145" s="16"/>
      <c r="AH145" s="16"/>
      <c r="AI145" s="16"/>
      <c r="AJ145" s="16"/>
      <c r="AK145" s="16"/>
      <c r="AL145" s="16"/>
      <c r="AM145" s="16"/>
      <c r="AN145" s="16"/>
      <c r="AO145" s="16"/>
      <c r="AP145" s="16"/>
      <c r="AQ145" s="16"/>
      <c r="AR145" s="16"/>
      <c r="AS145" s="16"/>
    </row>
    <row r="146" spans="2:45" x14ac:dyDescent="0.3">
      <c r="B146" s="16"/>
      <c r="C146" s="16"/>
      <c r="D146" s="16"/>
      <c r="E146" s="16"/>
      <c r="F146" s="24"/>
      <c r="G146" s="24"/>
      <c r="H146" s="24"/>
      <c r="I146" s="24"/>
      <c r="J146" s="24"/>
      <c r="K146" s="24"/>
      <c r="L146" s="16"/>
      <c r="M146" s="16"/>
      <c r="N146" s="16"/>
      <c r="O146" s="16"/>
      <c r="P146" s="16"/>
      <c r="Q146" s="16"/>
      <c r="R146" s="16"/>
      <c r="S146" s="16"/>
      <c r="T146" s="16"/>
      <c r="U146" s="16"/>
      <c r="V146" s="16"/>
      <c r="W146" s="16"/>
      <c r="X146" s="16"/>
      <c r="Y146" s="16"/>
      <c r="Z146" s="16"/>
      <c r="AA146" s="16"/>
      <c r="AB146" s="16"/>
      <c r="AC146" s="16"/>
      <c r="AD146" s="16"/>
      <c r="AE146" s="16"/>
      <c r="AF146" s="16"/>
      <c r="AG146" s="16"/>
      <c r="AH146" s="16"/>
      <c r="AI146" s="16"/>
      <c r="AJ146" s="16"/>
      <c r="AK146" s="16"/>
      <c r="AL146" s="16"/>
      <c r="AM146" s="16"/>
      <c r="AN146" s="16"/>
      <c r="AO146" s="16"/>
      <c r="AP146" s="16"/>
      <c r="AQ146" s="16"/>
      <c r="AR146" s="16"/>
      <c r="AS146" s="16"/>
    </row>
    <row r="147" spans="2:45" x14ac:dyDescent="0.3">
      <c r="B147" s="16"/>
      <c r="C147" s="16"/>
      <c r="D147" s="16"/>
      <c r="E147" s="16"/>
      <c r="F147" s="24"/>
      <c r="G147" s="24"/>
      <c r="H147" s="24"/>
      <c r="I147" s="24"/>
      <c r="J147" s="24"/>
      <c r="K147" s="24"/>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c r="AO147" s="16"/>
      <c r="AP147" s="16"/>
      <c r="AQ147" s="16"/>
      <c r="AR147" s="16"/>
      <c r="AS147" s="16"/>
    </row>
    <row r="148" spans="2:45" x14ac:dyDescent="0.3">
      <c r="B148" s="16"/>
      <c r="C148" s="16"/>
      <c r="D148" s="16"/>
      <c r="E148" s="16"/>
      <c r="F148" s="24"/>
      <c r="G148" s="24"/>
      <c r="H148" s="24"/>
      <c r="I148" s="24"/>
      <c r="J148" s="24"/>
      <c r="K148" s="24"/>
      <c r="L148" s="16"/>
      <c r="M148" s="16"/>
      <c r="N148" s="16"/>
      <c r="O148" s="16"/>
      <c r="P148" s="16"/>
      <c r="Q148" s="16"/>
      <c r="R148" s="16"/>
      <c r="S148" s="16"/>
      <c r="T148" s="16"/>
      <c r="U148" s="16"/>
      <c r="V148" s="16"/>
      <c r="W148" s="16"/>
      <c r="X148" s="16"/>
      <c r="Y148" s="16"/>
      <c r="Z148" s="16"/>
      <c r="AA148" s="16"/>
      <c r="AB148" s="16"/>
      <c r="AC148" s="16"/>
      <c r="AD148" s="16"/>
      <c r="AE148" s="16"/>
      <c r="AF148" s="16"/>
      <c r="AG148" s="16"/>
      <c r="AH148" s="16"/>
      <c r="AI148" s="16"/>
      <c r="AJ148" s="16"/>
      <c r="AK148" s="16"/>
      <c r="AL148" s="16"/>
      <c r="AM148" s="16"/>
      <c r="AN148" s="16"/>
      <c r="AO148" s="16"/>
      <c r="AP148" s="16"/>
      <c r="AQ148" s="16"/>
      <c r="AR148" s="16"/>
      <c r="AS148" s="16"/>
    </row>
    <row r="149" spans="2:45" x14ac:dyDescent="0.3">
      <c r="B149" s="16"/>
      <c r="C149" s="16"/>
      <c r="D149" s="16"/>
      <c r="E149" s="16"/>
      <c r="F149" s="24"/>
      <c r="G149" s="24"/>
      <c r="H149" s="24"/>
      <c r="I149" s="24"/>
      <c r="J149" s="24"/>
      <c r="K149" s="24"/>
      <c r="L149" s="16"/>
      <c r="M149" s="16"/>
      <c r="N149" s="16"/>
      <c r="O149" s="16"/>
      <c r="P149" s="16"/>
      <c r="Q149" s="16"/>
      <c r="R149" s="16"/>
      <c r="S149" s="16"/>
      <c r="T149" s="16"/>
      <c r="U149" s="16"/>
      <c r="V149" s="16"/>
      <c r="W149" s="16"/>
      <c r="X149" s="16"/>
      <c r="Y149" s="16"/>
      <c r="Z149" s="16"/>
      <c r="AA149" s="16"/>
      <c r="AB149" s="16"/>
      <c r="AC149" s="16"/>
      <c r="AD149" s="16"/>
      <c r="AE149" s="16"/>
      <c r="AF149" s="16"/>
      <c r="AG149" s="16"/>
      <c r="AH149" s="16"/>
      <c r="AI149" s="16"/>
      <c r="AJ149" s="16"/>
      <c r="AK149" s="16"/>
      <c r="AL149" s="16"/>
      <c r="AM149" s="16"/>
      <c r="AN149" s="16"/>
      <c r="AO149" s="16"/>
      <c r="AP149" s="16"/>
      <c r="AQ149" s="16"/>
      <c r="AR149" s="16"/>
      <c r="AS149" s="16"/>
    </row>
    <row r="150" spans="2:45" x14ac:dyDescent="0.3">
      <c r="B150" s="16"/>
      <c r="C150" s="16"/>
      <c r="D150" s="16"/>
      <c r="E150" s="16"/>
      <c r="F150" s="24"/>
      <c r="G150" s="24"/>
      <c r="H150" s="24"/>
      <c r="I150" s="24"/>
      <c r="J150" s="24"/>
      <c r="K150" s="24"/>
      <c r="L150" s="16"/>
      <c r="M150" s="16"/>
      <c r="N150" s="16"/>
      <c r="O150" s="16"/>
      <c r="P150" s="16"/>
      <c r="Q150" s="16"/>
      <c r="R150" s="16"/>
      <c r="S150" s="16"/>
      <c r="T150" s="16"/>
      <c r="U150" s="16"/>
      <c r="V150" s="16"/>
      <c r="W150" s="16"/>
      <c r="X150" s="16"/>
      <c r="Y150" s="16"/>
      <c r="Z150" s="16"/>
      <c r="AA150" s="16"/>
      <c r="AB150" s="16"/>
      <c r="AC150" s="16"/>
      <c r="AD150" s="16"/>
      <c r="AE150" s="16"/>
      <c r="AF150" s="16"/>
      <c r="AG150" s="16"/>
      <c r="AH150" s="16"/>
      <c r="AI150" s="16"/>
      <c r="AJ150" s="16"/>
      <c r="AK150" s="16"/>
      <c r="AL150" s="16"/>
      <c r="AM150" s="16"/>
      <c r="AN150" s="16"/>
      <c r="AO150" s="16"/>
      <c r="AP150" s="16"/>
      <c r="AQ150" s="16"/>
      <c r="AR150" s="16"/>
      <c r="AS150" s="16"/>
    </row>
    <row r="151" spans="2:45" x14ac:dyDescent="0.3">
      <c r="B151" s="16"/>
      <c r="C151" s="16"/>
      <c r="D151" s="16"/>
      <c r="E151" s="16"/>
      <c r="F151" s="24"/>
      <c r="G151" s="24"/>
      <c r="H151" s="24"/>
      <c r="I151" s="24"/>
      <c r="J151" s="24"/>
      <c r="K151" s="24"/>
      <c r="L151" s="16"/>
      <c r="M151" s="16"/>
      <c r="N151" s="16"/>
      <c r="O151" s="16"/>
      <c r="P151" s="16"/>
      <c r="Q151" s="16"/>
      <c r="R151" s="16"/>
      <c r="S151" s="16"/>
      <c r="T151" s="16"/>
      <c r="U151" s="16"/>
      <c r="V151" s="16"/>
      <c r="W151" s="16"/>
      <c r="X151" s="16"/>
      <c r="Y151" s="16"/>
      <c r="Z151" s="16"/>
      <c r="AA151" s="16"/>
      <c r="AB151" s="16"/>
      <c r="AC151" s="16"/>
      <c r="AD151" s="16"/>
      <c r="AE151" s="16"/>
      <c r="AF151" s="16"/>
      <c r="AG151" s="16"/>
      <c r="AH151" s="16"/>
      <c r="AI151" s="16"/>
      <c r="AJ151" s="16"/>
      <c r="AK151" s="16"/>
      <c r="AL151" s="16"/>
      <c r="AM151" s="16"/>
      <c r="AN151" s="16"/>
      <c r="AO151" s="16"/>
      <c r="AP151" s="16"/>
      <c r="AQ151" s="16"/>
      <c r="AR151" s="16"/>
      <c r="AS151" s="16"/>
    </row>
    <row r="152" spans="2:45" x14ac:dyDescent="0.3">
      <c r="B152" s="16"/>
      <c r="C152" s="16"/>
      <c r="D152" s="16"/>
      <c r="E152" s="16"/>
      <c r="F152" s="24"/>
      <c r="G152" s="24"/>
      <c r="H152" s="24"/>
      <c r="I152" s="24"/>
      <c r="J152" s="24"/>
      <c r="K152" s="24"/>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16"/>
      <c r="AI152" s="16"/>
      <c r="AJ152" s="16"/>
      <c r="AK152" s="16"/>
      <c r="AL152" s="16"/>
      <c r="AM152" s="16"/>
      <c r="AN152" s="16"/>
      <c r="AO152" s="16"/>
      <c r="AP152" s="16"/>
      <c r="AQ152" s="16"/>
      <c r="AR152" s="16"/>
      <c r="AS152" s="16"/>
    </row>
    <row r="153" spans="2:45" x14ac:dyDescent="0.3">
      <c r="B153" s="16"/>
      <c r="C153" s="16"/>
      <c r="D153" s="16"/>
      <c r="E153" s="16"/>
      <c r="F153" s="24"/>
      <c r="G153" s="24"/>
      <c r="H153" s="24"/>
      <c r="I153" s="24"/>
      <c r="J153" s="24"/>
      <c r="K153" s="24"/>
      <c r="L153" s="16"/>
      <c r="M153" s="16"/>
      <c r="N153" s="16"/>
      <c r="O153" s="16"/>
      <c r="P153" s="16"/>
      <c r="Q153" s="16"/>
      <c r="R153" s="16"/>
      <c r="S153" s="16"/>
      <c r="T153" s="16"/>
      <c r="U153" s="16"/>
      <c r="V153" s="16"/>
      <c r="W153" s="16"/>
      <c r="X153" s="16"/>
      <c r="Y153" s="16"/>
      <c r="Z153" s="16"/>
      <c r="AA153" s="16"/>
      <c r="AB153" s="16"/>
      <c r="AC153" s="16"/>
      <c r="AD153" s="16"/>
      <c r="AE153" s="16"/>
      <c r="AF153" s="16"/>
      <c r="AG153" s="16"/>
      <c r="AH153" s="16"/>
      <c r="AI153" s="16"/>
      <c r="AJ153" s="16"/>
      <c r="AK153" s="16"/>
      <c r="AL153" s="16"/>
      <c r="AM153" s="16"/>
      <c r="AN153" s="16"/>
      <c r="AO153" s="16"/>
      <c r="AP153" s="16"/>
      <c r="AQ153" s="16"/>
      <c r="AR153" s="16"/>
      <c r="AS153" s="16"/>
    </row>
    <row r="154" spans="2:45" x14ac:dyDescent="0.3">
      <c r="B154" s="16"/>
      <c r="C154" s="16"/>
      <c r="D154" s="16"/>
      <c r="E154" s="16"/>
      <c r="F154" s="24"/>
      <c r="G154" s="24"/>
      <c r="H154" s="24"/>
      <c r="I154" s="24"/>
      <c r="J154" s="24"/>
      <c r="K154" s="24"/>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c r="AK154" s="16"/>
      <c r="AL154" s="16"/>
      <c r="AM154" s="16"/>
      <c r="AN154" s="16"/>
      <c r="AO154" s="16"/>
      <c r="AP154" s="16"/>
      <c r="AQ154" s="16"/>
      <c r="AR154" s="16"/>
      <c r="AS154" s="16"/>
    </row>
    <row r="155" spans="2:45" x14ac:dyDescent="0.3">
      <c r="B155" s="16"/>
      <c r="C155" s="16"/>
      <c r="D155" s="16"/>
      <c r="E155" s="16"/>
      <c r="F155" s="24"/>
      <c r="G155" s="24"/>
      <c r="H155" s="24"/>
      <c r="I155" s="24"/>
      <c r="J155" s="24"/>
      <c r="K155" s="24"/>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c r="AK155" s="16"/>
      <c r="AL155" s="16"/>
      <c r="AM155" s="16"/>
      <c r="AN155" s="16"/>
      <c r="AO155" s="16"/>
      <c r="AP155" s="16"/>
      <c r="AQ155" s="16"/>
      <c r="AR155" s="16"/>
      <c r="AS155" s="16"/>
    </row>
    <row r="156" spans="2:45" x14ac:dyDescent="0.3">
      <c r="B156" s="16"/>
      <c r="C156" s="16"/>
      <c r="D156" s="16"/>
      <c r="E156" s="16"/>
      <c r="F156" s="24"/>
      <c r="G156" s="24"/>
      <c r="H156" s="24"/>
      <c r="I156" s="24"/>
      <c r="J156" s="24"/>
      <c r="K156" s="24"/>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c r="AK156" s="16"/>
      <c r="AL156" s="16"/>
      <c r="AM156" s="16"/>
      <c r="AN156" s="16"/>
      <c r="AO156" s="16"/>
      <c r="AP156" s="16"/>
      <c r="AQ156" s="16"/>
      <c r="AR156" s="16"/>
      <c r="AS156" s="16"/>
    </row>
    <row r="157" spans="2:45" x14ac:dyDescent="0.3">
      <c r="B157" s="16"/>
      <c r="C157" s="16"/>
      <c r="D157" s="16"/>
      <c r="E157" s="16"/>
      <c r="F157" s="24"/>
      <c r="G157" s="24"/>
      <c r="H157" s="24"/>
      <c r="I157" s="24"/>
      <c r="J157" s="24"/>
      <c r="K157" s="24"/>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c r="AO157" s="16"/>
      <c r="AP157" s="16"/>
      <c r="AQ157" s="16"/>
      <c r="AR157" s="16"/>
      <c r="AS157" s="16"/>
    </row>
    <row r="158" spans="2:45" x14ac:dyDescent="0.3">
      <c r="B158" s="16"/>
      <c r="C158" s="16"/>
      <c r="D158" s="16"/>
      <c r="E158" s="16"/>
      <c r="F158" s="24"/>
      <c r="G158" s="24"/>
      <c r="H158" s="24"/>
      <c r="I158" s="24"/>
      <c r="J158" s="24"/>
      <c r="K158" s="24" t="e">
        <f>#REF!-#REF!</f>
        <v>#REF!</v>
      </c>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c r="AO158" s="16"/>
      <c r="AP158" s="16"/>
      <c r="AQ158" s="16"/>
      <c r="AR158" s="16"/>
      <c r="AS158" s="16"/>
    </row>
    <row r="159" spans="2:45" x14ac:dyDescent="0.3">
      <c r="B159" s="16"/>
      <c r="C159" s="16"/>
      <c r="D159" s="16"/>
      <c r="E159" s="16"/>
      <c r="F159" s="24"/>
      <c r="G159" s="24"/>
      <c r="H159" s="24"/>
      <c r="I159" s="24"/>
      <c r="J159" s="24"/>
      <c r="K159" s="24"/>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c r="AO159" s="16"/>
      <c r="AP159" s="16"/>
      <c r="AQ159" s="16"/>
      <c r="AR159" s="16"/>
      <c r="AS159" s="16"/>
    </row>
    <row r="160" spans="2:45" x14ac:dyDescent="0.3">
      <c r="B160" s="16"/>
      <c r="C160" s="16"/>
      <c r="D160" s="16"/>
      <c r="E160" s="16"/>
      <c r="F160" s="24"/>
      <c r="G160" s="24"/>
      <c r="H160" s="24"/>
      <c r="I160" s="24"/>
      <c r="J160" s="24"/>
      <c r="K160" s="24"/>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c r="AO160" s="16"/>
      <c r="AP160" s="16"/>
      <c r="AQ160" s="16"/>
      <c r="AR160" s="16"/>
      <c r="AS160" s="16"/>
    </row>
    <row r="161" spans="2:45" x14ac:dyDescent="0.3">
      <c r="B161" s="16"/>
      <c r="C161" s="16"/>
      <c r="D161" s="16"/>
      <c r="E161" s="16"/>
      <c r="F161" s="24"/>
      <c r="G161" s="24"/>
      <c r="H161" s="24"/>
      <c r="I161" s="24"/>
      <c r="J161" s="24"/>
      <c r="K161" s="24"/>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c r="AO161" s="16"/>
      <c r="AP161" s="16"/>
      <c r="AQ161" s="16"/>
      <c r="AR161" s="16"/>
      <c r="AS161" s="16"/>
    </row>
    <row r="162" spans="2:45" x14ac:dyDescent="0.3">
      <c r="B162" s="16"/>
      <c r="C162" s="16"/>
      <c r="D162" s="16"/>
      <c r="E162" s="16"/>
      <c r="F162" s="24"/>
      <c r="G162" s="24"/>
      <c r="H162" s="24"/>
      <c r="I162" s="24"/>
      <c r="J162" s="24"/>
      <c r="K162" s="24"/>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c r="AO162" s="16"/>
      <c r="AP162" s="16"/>
      <c r="AQ162" s="16"/>
      <c r="AR162" s="16"/>
      <c r="AS162" s="16"/>
    </row>
    <row r="163" spans="2:45" x14ac:dyDescent="0.3">
      <c r="B163" s="16"/>
      <c r="C163" s="16"/>
      <c r="D163" s="16"/>
      <c r="E163" s="16"/>
      <c r="F163" s="24"/>
      <c r="G163" s="24"/>
      <c r="H163" s="24"/>
      <c r="I163" s="24"/>
      <c r="J163" s="24"/>
      <c r="K163" s="24"/>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c r="AO163" s="16"/>
      <c r="AP163" s="16"/>
      <c r="AQ163" s="16"/>
      <c r="AR163" s="16"/>
      <c r="AS163" s="16"/>
    </row>
    <row r="164" spans="2:45" x14ac:dyDescent="0.3">
      <c r="B164" s="16"/>
      <c r="C164" s="16"/>
      <c r="D164" s="16"/>
      <c r="E164" s="16"/>
      <c r="F164" s="24"/>
      <c r="G164" s="24"/>
      <c r="H164" s="24"/>
      <c r="I164" s="24"/>
      <c r="J164" s="24"/>
      <c r="K164" s="24"/>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c r="AO164" s="16"/>
      <c r="AP164" s="16"/>
      <c r="AQ164" s="16"/>
      <c r="AR164" s="16"/>
      <c r="AS164" s="16"/>
    </row>
    <row r="165" spans="2:45" x14ac:dyDescent="0.3">
      <c r="B165" s="16"/>
      <c r="C165" s="16"/>
      <c r="D165" s="16"/>
      <c r="E165" s="16"/>
      <c r="F165" s="24"/>
      <c r="G165" s="24"/>
      <c r="H165" s="24"/>
      <c r="I165" s="24"/>
      <c r="J165" s="24"/>
      <c r="K165" s="24"/>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c r="AO165" s="16"/>
      <c r="AP165" s="16"/>
      <c r="AQ165" s="16"/>
      <c r="AR165" s="16"/>
      <c r="AS165" s="16"/>
    </row>
    <row r="166" spans="2:45" x14ac:dyDescent="0.3">
      <c r="B166" s="16"/>
      <c r="C166" s="16"/>
      <c r="D166" s="16"/>
      <c r="E166" s="16"/>
      <c r="F166" s="24"/>
      <c r="G166" s="24"/>
      <c r="H166" s="24"/>
      <c r="I166" s="24"/>
      <c r="J166" s="24"/>
      <c r="K166" s="24"/>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c r="AO166" s="16"/>
      <c r="AP166" s="16"/>
      <c r="AQ166" s="16"/>
      <c r="AR166" s="16"/>
      <c r="AS166" s="16"/>
    </row>
    <row r="167" spans="2:45" x14ac:dyDescent="0.3">
      <c r="B167" s="16"/>
      <c r="C167" s="16"/>
      <c r="D167" s="16"/>
      <c r="E167" s="16"/>
      <c r="F167" s="24"/>
      <c r="G167" s="24"/>
      <c r="H167" s="24"/>
      <c r="I167" s="24"/>
      <c r="J167" s="24"/>
      <c r="K167" s="24"/>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c r="AO167" s="16"/>
      <c r="AP167" s="16"/>
      <c r="AQ167" s="16"/>
      <c r="AR167" s="16"/>
      <c r="AS167" s="16"/>
    </row>
    <row r="168" spans="2:45" x14ac:dyDescent="0.3">
      <c r="B168" s="16"/>
      <c r="C168" s="16"/>
      <c r="D168" s="16"/>
      <c r="E168" s="16"/>
      <c r="F168" s="24"/>
      <c r="G168" s="24"/>
      <c r="H168" s="24"/>
      <c r="I168" s="24"/>
      <c r="J168" s="24"/>
      <c r="K168" s="24"/>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c r="AO168" s="16"/>
      <c r="AP168" s="16"/>
      <c r="AQ168" s="16"/>
      <c r="AR168" s="16"/>
      <c r="AS168" s="16"/>
    </row>
    <row r="169" spans="2:45" x14ac:dyDescent="0.3">
      <c r="B169" s="16"/>
      <c r="C169" s="16"/>
      <c r="D169" s="16"/>
      <c r="E169" s="16"/>
      <c r="F169" s="24"/>
      <c r="G169" s="24"/>
      <c r="H169" s="24"/>
      <c r="I169" s="24"/>
      <c r="J169" s="24"/>
      <c r="K169" s="24"/>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c r="AO169" s="16"/>
      <c r="AP169" s="16"/>
      <c r="AQ169" s="16"/>
      <c r="AR169" s="16"/>
      <c r="AS169" s="16"/>
    </row>
    <row r="170" spans="2:45" x14ac:dyDescent="0.3">
      <c r="B170" s="16"/>
      <c r="C170" s="16"/>
      <c r="D170" s="16"/>
      <c r="E170" s="16"/>
      <c r="F170" s="24"/>
      <c r="G170" s="24"/>
      <c r="H170" s="24"/>
      <c r="I170" s="24"/>
      <c r="J170" s="24"/>
      <c r="K170" s="24"/>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c r="AO170" s="16"/>
      <c r="AP170" s="16"/>
      <c r="AQ170" s="16"/>
      <c r="AR170" s="16"/>
      <c r="AS170" s="16"/>
    </row>
    <row r="171" spans="2:45" x14ac:dyDescent="0.3">
      <c r="B171" s="16"/>
      <c r="C171" s="16"/>
      <c r="D171" s="16"/>
      <c r="E171" s="16"/>
      <c r="F171" s="24"/>
      <c r="G171" s="24"/>
      <c r="H171" s="24"/>
      <c r="I171" s="24"/>
      <c r="J171" s="24"/>
      <c r="K171" s="24"/>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c r="AO171" s="16"/>
      <c r="AP171" s="16"/>
      <c r="AQ171" s="16"/>
      <c r="AR171" s="16"/>
      <c r="AS171" s="16"/>
    </row>
    <row r="172" spans="2:45" x14ac:dyDescent="0.3">
      <c r="B172" s="16"/>
      <c r="C172" s="16"/>
      <c r="D172" s="16"/>
      <c r="E172" s="16"/>
      <c r="F172" s="24"/>
      <c r="G172" s="24"/>
      <c r="H172" s="24"/>
      <c r="I172" s="24"/>
      <c r="J172" s="24"/>
      <c r="K172" s="24"/>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c r="AO172" s="16"/>
      <c r="AP172" s="16"/>
      <c r="AQ172" s="16"/>
      <c r="AR172" s="16"/>
      <c r="AS172" s="16"/>
    </row>
    <row r="173" spans="2:45" x14ac:dyDescent="0.3">
      <c r="B173" s="16"/>
      <c r="C173" s="16"/>
      <c r="D173" s="16"/>
      <c r="E173" s="16"/>
      <c r="F173" s="24"/>
      <c r="G173" s="24"/>
      <c r="H173" s="24"/>
      <c r="I173" s="24"/>
      <c r="J173" s="24"/>
      <c r="K173" s="24"/>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c r="AO173" s="16"/>
      <c r="AP173" s="16"/>
      <c r="AQ173" s="16"/>
      <c r="AR173" s="16"/>
      <c r="AS173" s="16"/>
    </row>
    <row r="174" spans="2:45" x14ac:dyDescent="0.3">
      <c r="B174" s="16"/>
      <c r="C174" s="16"/>
      <c r="D174" s="16"/>
      <c r="E174" s="16"/>
      <c r="F174" s="24"/>
      <c r="G174" s="24"/>
      <c r="H174" s="24"/>
      <c r="I174" s="24"/>
      <c r="J174" s="24"/>
      <c r="K174" s="24"/>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c r="AO174" s="16"/>
      <c r="AP174" s="16"/>
      <c r="AQ174" s="16"/>
      <c r="AR174" s="16"/>
      <c r="AS174" s="16"/>
    </row>
    <row r="175" spans="2:45" x14ac:dyDescent="0.3">
      <c r="B175" s="16"/>
      <c r="C175" s="16"/>
      <c r="D175" s="16"/>
      <c r="E175" s="16"/>
      <c r="F175" s="24"/>
      <c r="G175" s="24"/>
      <c r="H175" s="24"/>
      <c r="I175" s="24"/>
      <c r="J175" s="24"/>
      <c r="K175" s="24"/>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c r="AO175" s="16"/>
      <c r="AP175" s="16"/>
      <c r="AQ175" s="16"/>
      <c r="AR175" s="16"/>
      <c r="AS175" s="16"/>
    </row>
    <row r="176" spans="2:45" x14ac:dyDescent="0.3">
      <c r="B176" s="16"/>
      <c r="C176" s="16"/>
      <c r="D176" s="16"/>
      <c r="E176" s="16"/>
      <c r="F176" s="24"/>
      <c r="G176" s="24"/>
      <c r="H176" s="24"/>
      <c r="I176" s="24"/>
      <c r="J176" s="24"/>
      <c r="K176" s="24"/>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c r="AO176" s="16"/>
      <c r="AP176" s="16"/>
      <c r="AQ176" s="16"/>
      <c r="AR176" s="16"/>
      <c r="AS176" s="16"/>
    </row>
    <row r="177" spans="2:45" x14ac:dyDescent="0.3">
      <c r="B177" s="16"/>
      <c r="C177" s="16"/>
      <c r="D177" s="16"/>
      <c r="E177" s="16"/>
      <c r="F177" s="24"/>
      <c r="G177" s="24"/>
      <c r="H177" s="24"/>
      <c r="I177" s="24"/>
      <c r="J177" s="24"/>
      <c r="K177" s="24"/>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c r="AO177" s="16"/>
      <c r="AP177" s="16"/>
      <c r="AQ177" s="16"/>
      <c r="AR177" s="16"/>
      <c r="AS177" s="16"/>
    </row>
    <row r="178" spans="2:45" x14ac:dyDescent="0.3">
      <c r="B178" s="16"/>
      <c r="C178" s="16"/>
      <c r="D178" s="16"/>
      <c r="E178" s="16"/>
      <c r="F178" s="24"/>
      <c r="G178" s="24"/>
      <c r="H178" s="24"/>
      <c r="I178" s="24"/>
      <c r="J178" s="24"/>
      <c r="K178" s="24"/>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c r="AO178" s="16"/>
      <c r="AP178" s="16"/>
      <c r="AQ178" s="16"/>
      <c r="AR178" s="16"/>
      <c r="AS178" s="16"/>
    </row>
    <row r="179" spans="2:45" x14ac:dyDescent="0.3">
      <c r="B179" s="16"/>
      <c r="C179" s="16"/>
      <c r="D179" s="16"/>
      <c r="E179" s="16"/>
      <c r="F179" s="24"/>
      <c r="G179" s="24"/>
      <c r="H179" s="24"/>
      <c r="I179" s="24"/>
      <c r="J179" s="24"/>
      <c r="K179" s="24"/>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c r="AO179" s="16"/>
      <c r="AP179" s="16"/>
      <c r="AQ179" s="16"/>
      <c r="AR179" s="16"/>
      <c r="AS179" s="16"/>
    </row>
    <row r="180" spans="2:45" x14ac:dyDescent="0.3">
      <c r="B180" s="16"/>
      <c r="C180" s="16"/>
      <c r="D180" s="16"/>
      <c r="E180" s="16"/>
      <c r="F180" s="24"/>
      <c r="G180" s="24"/>
      <c r="H180" s="24"/>
      <c r="I180" s="24"/>
      <c r="J180" s="24"/>
      <c r="K180" s="24"/>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c r="AO180" s="16"/>
      <c r="AP180" s="16"/>
      <c r="AQ180" s="16"/>
      <c r="AR180" s="16"/>
      <c r="AS180" s="16"/>
    </row>
    <row r="181" spans="2:45" x14ac:dyDescent="0.3">
      <c r="B181" s="16"/>
      <c r="C181" s="16"/>
      <c r="D181" s="16"/>
      <c r="E181" s="16"/>
      <c r="F181" s="24"/>
      <c r="G181" s="24"/>
      <c r="H181" s="24"/>
      <c r="I181" s="24"/>
      <c r="J181" s="24"/>
      <c r="K181" s="24"/>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c r="AO181" s="16"/>
      <c r="AP181" s="16"/>
      <c r="AQ181" s="16"/>
      <c r="AR181" s="16"/>
      <c r="AS181" s="16"/>
    </row>
    <row r="182" spans="2:45" x14ac:dyDescent="0.3">
      <c r="B182" s="16"/>
      <c r="C182" s="16"/>
      <c r="D182" s="16"/>
      <c r="E182" s="16"/>
      <c r="F182" s="24"/>
      <c r="G182" s="24"/>
      <c r="H182" s="24"/>
      <c r="I182" s="24"/>
      <c r="J182" s="24"/>
      <c r="K182" s="24"/>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c r="AO182" s="16"/>
      <c r="AP182" s="16"/>
      <c r="AQ182" s="16"/>
      <c r="AR182" s="16"/>
      <c r="AS182" s="16"/>
    </row>
    <row r="183" spans="2:45" x14ac:dyDescent="0.3">
      <c r="B183" s="16"/>
      <c r="C183" s="16"/>
      <c r="D183" s="16"/>
      <c r="E183" s="16"/>
      <c r="F183" s="24"/>
      <c r="G183" s="24"/>
      <c r="H183" s="24"/>
      <c r="I183" s="24"/>
      <c r="J183" s="24"/>
      <c r="K183" s="24"/>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c r="AO183" s="16"/>
      <c r="AP183" s="16"/>
      <c r="AQ183" s="16"/>
      <c r="AR183" s="16"/>
      <c r="AS183" s="16"/>
    </row>
    <row r="184" spans="2:45" x14ac:dyDescent="0.3">
      <c r="B184" s="16"/>
      <c r="C184" s="16"/>
      <c r="D184" s="16"/>
      <c r="E184" s="16"/>
      <c r="F184" s="24"/>
      <c r="G184" s="24"/>
      <c r="H184" s="24"/>
      <c r="I184" s="24"/>
      <c r="J184" s="24"/>
      <c r="K184" s="24"/>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c r="AO184" s="16"/>
      <c r="AP184" s="16"/>
      <c r="AQ184" s="16"/>
      <c r="AR184" s="16"/>
      <c r="AS184" s="16"/>
    </row>
    <row r="185" spans="2:45" x14ac:dyDescent="0.3">
      <c r="B185" s="16"/>
      <c r="C185" s="16"/>
      <c r="D185" s="16"/>
      <c r="E185" s="16"/>
      <c r="F185" s="24"/>
      <c r="G185" s="24"/>
      <c r="H185" s="24"/>
      <c r="I185" s="24"/>
      <c r="J185" s="24"/>
      <c r="K185" s="24"/>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c r="AO185" s="16"/>
      <c r="AP185" s="16"/>
      <c r="AQ185" s="16"/>
      <c r="AR185" s="16"/>
      <c r="AS185" s="16"/>
    </row>
    <row r="186" spans="2:45" x14ac:dyDescent="0.3">
      <c r="B186" s="16"/>
      <c r="C186" s="16"/>
      <c r="D186" s="16"/>
      <c r="E186" s="16"/>
      <c r="F186" s="24"/>
      <c r="G186" s="24"/>
      <c r="H186" s="24"/>
      <c r="I186" s="24"/>
      <c r="J186" s="24"/>
      <c r="K186" s="24"/>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c r="AO186" s="16"/>
      <c r="AP186" s="16"/>
      <c r="AQ186" s="16"/>
      <c r="AR186" s="16"/>
      <c r="AS186" s="16"/>
    </row>
    <row r="187" spans="2:45" x14ac:dyDescent="0.3">
      <c r="B187" s="16"/>
      <c r="C187" s="16"/>
      <c r="D187" s="16"/>
      <c r="E187" s="16"/>
      <c r="F187" s="24"/>
      <c r="G187" s="24"/>
      <c r="H187" s="24"/>
      <c r="I187" s="24"/>
      <c r="J187" s="24"/>
      <c r="K187" s="24"/>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c r="AO187" s="16"/>
      <c r="AP187" s="16"/>
      <c r="AQ187" s="16"/>
      <c r="AR187" s="16"/>
      <c r="AS187" s="16"/>
    </row>
    <row r="188" spans="2:45" x14ac:dyDescent="0.3">
      <c r="B188" s="16"/>
      <c r="C188" s="16"/>
      <c r="D188" s="16"/>
      <c r="E188" s="16"/>
      <c r="F188" s="24"/>
      <c r="G188" s="24"/>
      <c r="H188" s="24"/>
      <c r="I188" s="24"/>
      <c r="J188" s="24"/>
      <c r="K188" s="24"/>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c r="AO188" s="16"/>
      <c r="AP188" s="16"/>
      <c r="AQ188" s="16"/>
      <c r="AR188" s="16"/>
      <c r="AS188" s="16"/>
    </row>
    <row r="189" spans="2:45" x14ac:dyDescent="0.3">
      <c r="B189" s="16"/>
      <c r="C189" s="16"/>
      <c r="D189" s="16"/>
      <c r="E189" s="16"/>
      <c r="F189" s="24"/>
      <c r="G189" s="24"/>
      <c r="H189" s="24"/>
      <c r="I189" s="24"/>
      <c r="J189" s="24"/>
      <c r="K189" s="24"/>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c r="AO189" s="16"/>
      <c r="AP189" s="16"/>
      <c r="AQ189" s="16"/>
      <c r="AR189" s="16"/>
      <c r="AS189" s="16"/>
    </row>
    <row r="190" spans="2:45" x14ac:dyDescent="0.3">
      <c r="B190" s="16"/>
      <c r="C190" s="16"/>
      <c r="D190" s="16"/>
      <c r="E190" s="16"/>
      <c r="F190" s="24"/>
      <c r="G190" s="24"/>
      <c r="H190" s="24"/>
      <c r="I190" s="24"/>
      <c r="J190" s="24"/>
      <c r="K190" s="24"/>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c r="AK190" s="16"/>
      <c r="AL190" s="16"/>
      <c r="AM190" s="16"/>
      <c r="AN190" s="16"/>
      <c r="AO190" s="16"/>
      <c r="AP190" s="16"/>
      <c r="AQ190" s="16"/>
      <c r="AR190" s="16"/>
      <c r="AS190" s="16"/>
    </row>
    <row r="191" spans="2:45" x14ac:dyDescent="0.3">
      <c r="B191" s="16"/>
      <c r="C191" s="16"/>
      <c r="D191" s="16"/>
      <c r="E191" s="16"/>
      <c r="F191" s="24"/>
      <c r="G191" s="24"/>
      <c r="H191" s="24"/>
      <c r="I191" s="24"/>
      <c r="J191" s="24"/>
      <c r="K191" s="24"/>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c r="AK191" s="16"/>
      <c r="AL191" s="16"/>
      <c r="AM191" s="16"/>
      <c r="AN191" s="16"/>
      <c r="AO191" s="16"/>
      <c r="AP191" s="16"/>
      <c r="AQ191" s="16"/>
      <c r="AR191" s="16"/>
      <c r="AS191" s="16"/>
    </row>
    <row r="192" spans="2:45" x14ac:dyDescent="0.3">
      <c r="B192" s="16"/>
      <c r="C192" s="16"/>
      <c r="D192" s="16"/>
      <c r="E192" s="16"/>
      <c r="F192" s="24"/>
      <c r="G192" s="24"/>
      <c r="H192" s="24"/>
      <c r="I192" s="24"/>
      <c r="J192" s="24"/>
      <c r="K192" s="24"/>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6"/>
      <c r="AN192" s="16"/>
      <c r="AO192" s="16"/>
      <c r="AP192" s="16"/>
      <c r="AQ192" s="16"/>
      <c r="AR192" s="16"/>
      <c r="AS192" s="16"/>
    </row>
    <row r="193" spans="2:45" x14ac:dyDescent="0.3">
      <c r="B193" s="16"/>
      <c r="C193" s="16"/>
      <c r="D193" s="16"/>
      <c r="E193" s="16"/>
      <c r="F193" s="24"/>
      <c r="G193" s="24"/>
      <c r="H193" s="24"/>
      <c r="I193" s="24"/>
      <c r="J193" s="24"/>
      <c r="K193" s="24"/>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c r="AK193" s="16"/>
      <c r="AL193" s="16"/>
      <c r="AM193" s="16"/>
      <c r="AN193" s="16"/>
      <c r="AO193" s="16"/>
      <c r="AP193" s="16"/>
      <c r="AQ193" s="16"/>
      <c r="AR193" s="16"/>
      <c r="AS193" s="16"/>
    </row>
    <row r="194" spans="2:45" x14ac:dyDescent="0.3">
      <c r="B194" s="16"/>
      <c r="C194" s="16"/>
      <c r="D194" s="16"/>
      <c r="E194" s="16"/>
      <c r="F194" s="24"/>
      <c r="G194" s="24"/>
      <c r="H194" s="24"/>
      <c r="I194" s="24"/>
      <c r="J194" s="24"/>
      <c r="K194" s="24"/>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c r="AK194" s="16"/>
      <c r="AL194" s="16"/>
      <c r="AM194" s="16"/>
      <c r="AN194" s="16"/>
      <c r="AO194" s="16"/>
      <c r="AP194" s="16"/>
      <c r="AQ194" s="16"/>
      <c r="AR194" s="16"/>
      <c r="AS194" s="16"/>
    </row>
    <row r="195" spans="2:45" x14ac:dyDescent="0.3">
      <c r="B195" s="16"/>
      <c r="C195" s="16"/>
      <c r="D195" s="16"/>
      <c r="E195" s="16"/>
      <c r="F195" s="24"/>
      <c r="G195" s="24"/>
      <c r="H195" s="24"/>
      <c r="I195" s="24"/>
      <c r="J195" s="24"/>
      <c r="K195" s="24"/>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c r="AK195" s="16"/>
      <c r="AL195" s="16"/>
      <c r="AM195" s="16"/>
      <c r="AN195" s="16"/>
      <c r="AO195" s="16"/>
      <c r="AP195" s="16"/>
      <c r="AQ195" s="16"/>
      <c r="AR195" s="16"/>
      <c r="AS195" s="16"/>
    </row>
    <row r="196" spans="2:45" x14ac:dyDescent="0.3">
      <c r="B196" s="16"/>
      <c r="C196" s="16"/>
      <c r="D196" s="16"/>
      <c r="E196" s="16"/>
      <c r="F196" s="24"/>
      <c r="G196" s="24"/>
      <c r="H196" s="24"/>
      <c r="I196" s="24"/>
      <c r="J196" s="24"/>
      <c r="K196" s="24"/>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c r="AK196" s="16"/>
      <c r="AL196" s="16"/>
      <c r="AM196" s="16"/>
      <c r="AN196" s="16"/>
      <c r="AO196" s="16"/>
      <c r="AP196" s="16"/>
      <c r="AQ196" s="16"/>
      <c r="AR196" s="16"/>
      <c r="AS196" s="16"/>
    </row>
    <row r="197" spans="2:45" x14ac:dyDescent="0.3">
      <c r="B197" s="16"/>
      <c r="C197" s="16"/>
      <c r="D197" s="16"/>
      <c r="E197" s="16"/>
      <c r="F197" s="24"/>
      <c r="G197" s="24"/>
      <c r="H197" s="24"/>
      <c r="I197" s="24"/>
      <c r="J197" s="24"/>
      <c r="K197" s="24"/>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c r="AK197" s="16"/>
      <c r="AL197" s="16"/>
      <c r="AM197" s="16"/>
      <c r="AN197" s="16"/>
      <c r="AO197" s="16"/>
      <c r="AP197" s="16"/>
      <c r="AQ197" s="16"/>
      <c r="AR197" s="16"/>
      <c r="AS197" s="16"/>
    </row>
    <row r="198" spans="2:45" x14ac:dyDescent="0.3">
      <c r="B198" s="16"/>
      <c r="C198" s="16"/>
      <c r="D198" s="16"/>
      <c r="E198" s="16"/>
      <c r="F198" s="24"/>
      <c r="G198" s="24"/>
      <c r="H198" s="24"/>
      <c r="I198" s="24"/>
      <c r="J198" s="24"/>
      <c r="K198" s="24"/>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c r="AK198" s="16"/>
      <c r="AL198" s="16"/>
      <c r="AM198" s="16"/>
      <c r="AN198" s="16"/>
      <c r="AO198" s="16"/>
      <c r="AP198" s="16"/>
      <c r="AQ198" s="16"/>
      <c r="AR198" s="16"/>
      <c r="AS198" s="16"/>
    </row>
    <row r="199" spans="2:45" x14ac:dyDescent="0.3">
      <c r="B199" s="16"/>
      <c r="C199" s="16"/>
      <c r="D199" s="16"/>
      <c r="E199" s="16"/>
      <c r="F199" s="24"/>
      <c r="G199" s="24"/>
      <c r="H199" s="24"/>
      <c r="I199" s="24"/>
      <c r="J199" s="24"/>
      <c r="K199" s="24"/>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c r="AK199" s="16"/>
      <c r="AL199" s="16"/>
      <c r="AM199" s="16"/>
      <c r="AN199" s="16"/>
      <c r="AO199" s="16"/>
      <c r="AP199" s="16"/>
      <c r="AQ199" s="16"/>
      <c r="AR199" s="16"/>
      <c r="AS199" s="16"/>
    </row>
    <row r="200" spans="2:45" x14ac:dyDescent="0.3">
      <c r="B200" s="16"/>
      <c r="C200" s="16"/>
      <c r="D200" s="16"/>
      <c r="E200" s="16"/>
      <c r="F200" s="24"/>
      <c r="G200" s="24"/>
      <c r="H200" s="24"/>
      <c r="I200" s="24"/>
      <c r="J200" s="24"/>
      <c r="K200" s="24"/>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c r="AK200" s="16"/>
      <c r="AL200" s="16"/>
      <c r="AM200" s="16"/>
      <c r="AN200" s="16"/>
      <c r="AO200" s="16"/>
      <c r="AP200" s="16"/>
      <c r="AQ200" s="16"/>
      <c r="AR200" s="16"/>
      <c r="AS200" s="16"/>
    </row>
    <row r="201" spans="2:45" x14ac:dyDescent="0.3">
      <c r="B201" s="16"/>
      <c r="C201" s="16"/>
      <c r="D201" s="16"/>
      <c r="E201" s="16"/>
      <c r="F201" s="24"/>
      <c r="G201" s="24"/>
      <c r="H201" s="24"/>
      <c r="I201" s="24"/>
      <c r="J201" s="24"/>
      <c r="K201" s="24"/>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c r="AO201" s="16"/>
      <c r="AP201" s="16"/>
      <c r="AQ201" s="16"/>
      <c r="AR201" s="16"/>
      <c r="AS201" s="16"/>
    </row>
    <row r="202" spans="2:45" x14ac:dyDescent="0.3">
      <c r="B202" s="16"/>
      <c r="C202" s="16"/>
      <c r="D202" s="16"/>
      <c r="E202" s="16"/>
      <c r="F202" s="24"/>
      <c r="G202" s="24"/>
      <c r="H202" s="24"/>
      <c r="I202" s="24"/>
      <c r="J202" s="24"/>
      <c r="K202" s="24"/>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c r="AO202" s="16"/>
      <c r="AP202" s="16"/>
      <c r="AQ202" s="16"/>
      <c r="AR202" s="16"/>
      <c r="AS202" s="16"/>
    </row>
    <row r="203" spans="2:45" x14ac:dyDescent="0.3">
      <c r="B203" s="16"/>
      <c r="C203" s="16"/>
      <c r="D203" s="16"/>
      <c r="E203" s="16"/>
      <c r="F203" s="24"/>
      <c r="G203" s="24"/>
      <c r="H203" s="24"/>
      <c r="I203" s="24"/>
      <c r="J203" s="24"/>
      <c r="K203" s="24"/>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c r="AO203" s="16"/>
      <c r="AP203" s="16"/>
      <c r="AQ203" s="16"/>
      <c r="AR203" s="16"/>
      <c r="AS203" s="16"/>
    </row>
    <row r="204" spans="2:45" x14ac:dyDescent="0.3">
      <c r="B204" s="16"/>
      <c r="C204" s="16"/>
      <c r="D204" s="16"/>
      <c r="E204" s="16"/>
      <c r="F204" s="24"/>
      <c r="G204" s="24"/>
      <c r="H204" s="24"/>
      <c r="I204" s="24"/>
      <c r="J204" s="24"/>
      <c r="K204" s="24"/>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c r="AO204" s="16"/>
      <c r="AP204" s="16"/>
      <c r="AQ204" s="16"/>
      <c r="AR204" s="16"/>
      <c r="AS204" s="16"/>
    </row>
    <row r="205" spans="2:45" x14ac:dyDescent="0.3">
      <c r="B205" s="16"/>
      <c r="C205" s="16"/>
      <c r="D205" s="16"/>
      <c r="E205" s="16"/>
      <c r="F205" s="24"/>
      <c r="G205" s="24"/>
      <c r="H205" s="24"/>
      <c r="I205" s="24"/>
      <c r="J205" s="24"/>
      <c r="K205" s="24"/>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c r="AO205" s="16"/>
      <c r="AP205" s="16"/>
      <c r="AQ205" s="16"/>
      <c r="AR205" s="16"/>
      <c r="AS205" s="16"/>
    </row>
    <row r="206" spans="2:45" x14ac:dyDescent="0.3">
      <c r="B206" s="16"/>
      <c r="C206" s="16"/>
      <c r="D206" s="16"/>
      <c r="E206" s="16"/>
      <c r="F206" s="24"/>
      <c r="G206" s="24"/>
      <c r="H206" s="24"/>
      <c r="I206" s="24"/>
      <c r="J206" s="24"/>
      <c r="K206" s="24"/>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c r="AO206" s="16"/>
      <c r="AP206" s="16"/>
      <c r="AQ206" s="16"/>
      <c r="AR206" s="16"/>
      <c r="AS206" s="16"/>
    </row>
    <row r="207" spans="2:45" x14ac:dyDescent="0.3">
      <c r="B207" s="16"/>
      <c r="C207" s="16"/>
      <c r="D207" s="16"/>
      <c r="E207" s="16"/>
      <c r="F207" s="24"/>
      <c r="G207" s="24"/>
      <c r="H207" s="24"/>
      <c r="I207" s="24"/>
      <c r="J207" s="24"/>
      <c r="K207" s="24"/>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c r="AK207" s="16"/>
      <c r="AL207" s="16"/>
      <c r="AM207" s="16"/>
      <c r="AN207" s="16"/>
      <c r="AO207" s="16"/>
      <c r="AP207" s="16"/>
      <c r="AQ207" s="16"/>
      <c r="AR207" s="16"/>
      <c r="AS207" s="16"/>
    </row>
    <row r="208" spans="2:45" x14ac:dyDescent="0.3">
      <c r="B208" s="16"/>
      <c r="C208" s="16"/>
      <c r="D208" s="16"/>
      <c r="E208" s="16"/>
      <c r="F208" s="24"/>
      <c r="G208" s="24"/>
      <c r="H208" s="24"/>
      <c r="I208" s="24"/>
      <c r="J208" s="24"/>
      <c r="K208" s="24"/>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c r="AK208" s="16"/>
      <c r="AL208" s="16"/>
      <c r="AM208" s="16"/>
      <c r="AN208" s="16"/>
      <c r="AO208" s="16"/>
      <c r="AP208" s="16"/>
      <c r="AQ208" s="16"/>
      <c r="AR208" s="16"/>
      <c r="AS208" s="16"/>
    </row>
    <row r="209" spans="2:45" x14ac:dyDescent="0.3">
      <c r="B209" s="16"/>
      <c r="C209" s="16"/>
      <c r="D209" s="16"/>
      <c r="E209" s="16"/>
      <c r="F209" s="24"/>
      <c r="G209" s="24"/>
      <c r="H209" s="24"/>
      <c r="I209" s="24"/>
      <c r="J209" s="24"/>
      <c r="K209" s="24"/>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c r="AK209" s="16"/>
      <c r="AL209" s="16"/>
      <c r="AM209" s="16"/>
      <c r="AN209" s="16"/>
      <c r="AO209" s="16"/>
      <c r="AP209" s="16"/>
      <c r="AQ209" s="16"/>
      <c r="AR209" s="16"/>
      <c r="AS209" s="16"/>
    </row>
    <row r="210" spans="2:45" x14ac:dyDescent="0.3">
      <c r="B210" s="16"/>
      <c r="C210" s="16"/>
      <c r="D210" s="16"/>
      <c r="E210" s="16"/>
      <c r="F210" s="24"/>
      <c r="G210" s="24"/>
      <c r="H210" s="24"/>
      <c r="I210" s="24"/>
      <c r="J210" s="24"/>
      <c r="K210" s="24"/>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c r="AK210" s="16"/>
      <c r="AL210" s="16"/>
      <c r="AM210" s="16"/>
      <c r="AN210" s="16"/>
      <c r="AO210" s="16"/>
      <c r="AP210" s="16"/>
      <c r="AQ210" s="16"/>
      <c r="AR210" s="16"/>
      <c r="AS210" s="16"/>
    </row>
    <row r="211" spans="2:45" x14ac:dyDescent="0.3">
      <c r="B211" s="16"/>
      <c r="C211" s="16"/>
      <c r="D211" s="16"/>
      <c r="E211" s="16"/>
      <c r="F211" s="24"/>
      <c r="G211" s="24"/>
      <c r="H211" s="24"/>
      <c r="I211" s="24"/>
      <c r="J211" s="24"/>
      <c r="K211" s="24"/>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c r="AK211" s="16"/>
      <c r="AL211" s="16"/>
      <c r="AM211" s="16"/>
      <c r="AN211" s="16"/>
      <c r="AO211" s="16"/>
      <c r="AP211" s="16"/>
      <c r="AQ211" s="16"/>
      <c r="AR211" s="16"/>
      <c r="AS211" s="16"/>
    </row>
    <row r="212" spans="2:45" x14ac:dyDescent="0.3">
      <c r="B212" s="16"/>
      <c r="C212" s="16"/>
      <c r="D212" s="16"/>
      <c r="E212" s="16"/>
      <c r="F212" s="24"/>
      <c r="G212" s="24"/>
      <c r="H212" s="24"/>
      <c r="I212" s="24"/>
      <c r="J212" s="24"/>
      <c r="K212" s="24"/>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c r="AK212" s="16"/>
      <c r="AL212" s="16"/>
      <c r="AM212" s="16"/>
      <c r="AN212" s="16"/>
      <c r="AO212" s="16"/>
      <c r="AP212" s="16"/>
      <c r="AQ212" s="16"/>
      <c r="AR212" s="16"/>
      <c r="AS212" s="16"/>
    </row>
    <row r="213" spans="2:45" x14ac:dyDescent="0.3">
      <c r="B213" s="16"/>
      <c r="C213" s="16"/>
      <c r="D213" s="16"/>
      <c r="E213" s="16"/>
      <c r="F213" s="24"/>
      <c r="G213" s="24"/>
      <c r="H213" s="24"/>
      <c r="I213" s="24"/>
      <c r="J213" s="24"/>
      <c r="K213" s="24"/>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c r="AK213" s="16"/>
      <c r="AL213" s="16"/>
      <c r="AM213" s="16"/>
      <c r="AN213" s="16"/>
      <c r="AO213" s="16"/>
      <c r="AP213" s="16"/>
      <c r="AQ213" s="16"/>
      <c r="AR213" s="16"/>
      <c r="AS213" s="16"/>
    </row>
    <row r="214" spans="2:45" x14ac:dyDescent="0.3">
      <c r="B214" s="16"/>
      <c r="C214" s="16"/>
      <c r="D214" s="16"/>
      <c r="E214" s="16"/>
      <c r="F214" s="24"/>
      <c r="G214" s="24"/>
      <c r="H214" s="24"/>
      <c r="I214" s="24"/>
      <c r="J214" s="24"/>
      <c r="K214" s="24"/>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c r="AK214" s="16"/>
      <c r="AL214" s="16"/>
      <c r="AM214" s="16"/>
      <c r="AN214" s="16"/>
      <c r="AO214" s="16"/>
      <c r="AP214" s="16"/>
      <c r="AQ214" s="16"/>
      <c r="AR214" s="16"/>
      <c r="AS214" s="16"/>
    </row>
    <row r="215" spans="2:45" x14ac:dyDescent="0.3">
      <c r="B215" s="16"/>
      <c r="C215" s="16"/>
      <c r="D215" s="16"/>
      <c r="E215" s="16"/>
      <c r="F215" s="24"/>
      <c r="G215" s="24"/>
      <c r="H215" s="24"/>
      <c r="I215" s="24"/>
      <c r="J215" s="24"/>
      <c r="K215" s="24"/>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c r="AK215" s="16"/>
      <c r="AL215" s="16"/>
      <c r="AM215" s="16"/>
      <c r="AN215" s="16"/>
      <c r="AO215" s="16"/>
      <c r="AP215" s="16"/>
      <c r="AQ215" s="16"/>
      <c r="AR215" s="16"/>
      <c r="AS215" s="16"/>
    </row>
    <row r="216" spans="2:45" x14ac:dyDescent="0.3">
      <c r="B216" s="16"/>
      <c r="C216" s="16"/>
      <c r="D216" s="16"/>
      <c r="E216" s="16"/>
      <c r="F216" s="24"/>
      <c r="G216" s="24"/>
      <c r="H216" s="24"/>
      <c r="I216" s="24"/>
      <c r="J216" s="24"/>
      <c r="K216" s="24"/>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c r="AK216" s="16"/>
      <c r="AL216" s="16"/>
      <c r="AM216" s="16"/>
      <c r="AN216" s="16"/>
      <c r="AO216" s="16"/>
      <c r="AP216" s="16"/>
      <c r="AQ216" s="16"/>
      <c r="AR216" s="16"/>
      <c r="AS216" s="16"/>
    </row>
    <row r="217" spans="2:45" x14ac:dyDescent="0.3">
      <c r="B217" s="16"/>
      <c r="C217" s="16"/>
      <c r="D217" s="16"/>
      <c r="E217" s="16"/>
      <c r="F217" s="24"/>
      <c r="G217" s="24"/>
      <c r="H217" s="24"/>
      <c r="I217" s="24"/>
      <c r="J217" s="24"/>
      <c r="K217" s="24"/>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c r="AK217" s="16"/>
      <c r="AL217" s="16"/>
      <c r="AM217" s="16"/>
      <c r="AN217" s="16"/>
      <c r="AO217" s="16"/>
      <c r="AP217" s="16"/>
      <c r="AQ217" s="16"/>
      <c r="AR217" s="16"/>
      <c r="AS217" s="16"/>
    </row>
    <row r="218" spans="2:45" x14ac:dyDescent="0.3">
      <c r="B218" s="16"/>
      <c r="C218" s="16"/>
      <c r="D218" s="16"/>
      <c r="E218" s="16"/>
      <c r="F218" s="24"/>
      <c r="G218" s="24"/>
      <c r="H218" s="24"/>
      <c r="I218" s="24"/>
      <c r="J218" s="24"/>
      <c r="K218" s="24"/>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c r="AK218" s="16"/>
      <c r="AL218" s="16"/>
      <c r="AM218" s="16"/>
      <c r="AN218" s="16"/>
      <c r="AO218" s="16"/>
      <c r="AP218" s="16"/>
      <c r="AQ218" s="16"/>
      <c r="AR218" s="16"/>
      <c r="AS218" s="16"/>
    </row>
    <row r="219" spans="2:45" x14ac:dyDescent="0.3">
      <c r="B219" s="16"/>
      <c r="C219" s="16"/>
      <c r="D219" s="16"/>
      <c r="E219" s="16"/>
      <c r="F219" s="24"/>
      <c r="G219" s="24"/>
      <c r="H219" s="24"/>
      <c r="I219" s="24"/>
      <c r="J219" s="24"/>
      <c r="K219" s="24"/>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c r="AK219" s="16"/>
      <c r="AL219" s="16"/>
      <c r="AM219" s="16"/>
      <c r="AN219" s="16"/>
      <c r="AO219" s="16"/>
      <c r="AP219" s="16"/>
      <c r="AQ219" s="16"/>
      <c r="AR219" s="16"/>
      <c r="AS219" s="16"/>
    </row>
    <row r="220" spans="2:45" x14ac:dyDescent="0.3">
      <c r="B220" s="16"/>
      <c r="C220" s="16"/>
      <c r="D220" s="16"/>
      <c r="E220" s="16"/>
      <c r="F220" s="24"/>
      <c r="G220" s="24"/>
      <c r="H220" s="24"/>
      <c r="I220" s="24"/>
      <c r="J220" s="24"/>
      <c r="K220" s="24"/>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c r="AK220" s="16"/>
      <c r="AL220" s="16"/>
      <c r="AM220" s="16"/>
      <c r="AN220" s="16"/>
      <c r="AO220" s="16"/>
      <c r="AP220" s="16"/>
      <c r="AQ220" s="16"/>
      <c r="AR220" s="16"/>
      <c r="AS220" s="16"/>
    </row>
    <row r="221" spans="2:45" x14ac:dyDescent="0.3">
      <c r="B221" s="16"/>
      <c r="C221" s="16"/>
      <c r="D221" s="16"/>
      <c r="E221" s="16"/>
      <c r="F221" s="24"/>
      <c r="G221" s="24"/>
      <c r="H221" s="24"/>
      <c r="I221" s="24"/>
      <c r="J221" s="24"/>
      <c r="K221" s="24"/>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c r="AK221" s="16"/>
      <c r="AL221" s="16"/>
      <c r="AM221" s="16"/>
      <c r="AN221" s="16"/>
      <c r="AO221" s="16"/>
      <c r="AP221" s="16"/>
      <c r="AQ221" s="16"/>
      <c r="AR221" s="16"/>
      <c r="AS221" s="16"/>
    </row>
    <row r="222" spans="2:45" x14ac:dyDescent="0.3">
      <c r="E222" s="16"/>
      <c r="F222" s="24"/>
      <c r="G222" s="24"/>
      <c r="H222" s="24"/>
      <c r="I222" s="24"/>
      <c r="J222" s="24"/>
      <c r="K222" s="24"/>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c r="AK222" s="16"/>
      <c r="AL222" s="16"/>
      <c r="AM222" s="16"/>
      <c r="AN222" s="16"/>
      <c r="AO222" s="16"/>
      <c r="AP222" s="16"/>
      <c r="AQ222" s="16"/>
      <c r="AR222" s="16"/>
      <c r="AS222" s="16"/>
    </row>
    <row r="223" spans="2:45" x14ac:dyDescent="0.3">
      <c r="F223" s="24"/>
      <c r="G223" s="24"/>
      <c r="H223" s="24"/>
      <c r="I223" s="24"/>
      <c r="J223" s="24"/>
      <c r="K223" s="24"/>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c r="AK223" s="16"/>
      <c r="AL223" s="16"/>
      <c r="AM223" s="16"/>
      <c r="AN223" s="16"/>
      <c r="AO223" s="16"/>
      <c r="AP223" s="16"/>
      <c r="AQ223" s="16"/>
      <c r="AR223" s="16"/>
      <c r="AS223" s="16"/>
    </row>
    <row r="224" spans="2:45" x14ac:dyDescent="0.3">
      <c r="F224" s="25"/>
      <c r="G224" s="25"/>
      <c r="H224" s="25"/>
      <c r="I224" s="25"/>
      <c r="J224" s="25"/>
      <c r="K224" s="24"/>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6"/>
      <c r="AN224" s="16"/>
      <c r="AO224" s="16"/>
      <c r="AP224" s="16"/>
      <c r="AQ224" s="16"/>
      <c r="AR224" s="16"/>
      <c r="AS224" s="16"/>
    </row>
    <row r="225" spans="6:45" x14ac:dyDescent="0.3">
      <c r="F225" s="25"/>
      <c r="G225" s="25"/>
      <c r="H225" s="25"/>
      <c r="I225" s="25"/>
      <c r="J225" s="25"/>
      <c r="K225" s="24"/>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c r="AK225" s="16"/>
      <c r="AL225" s="16"/>
      <c r="AM225" s="16"/>
      <c r="AN225" s="16"/>
      <c r="AO225" s="16"/>
      <c r="AP225" s="16"/>
      <c r="AQ225" s="16"/>
      <c r="AR225" s="16"/>
      <c r="AS225" s="16"/>
    </row>
    <row r="226" spans="6:45" x14ac:dyDescent="0.3">
      <c r="F226" s="25"/>
      <c r="G226" s="25"/>
      <c r="H226" s="25"/>
      <c r="I226" s="25"/>
      <c r="J226" s="25"/>
      <c r="K226" s="24"/>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c r="AK226" s="16"/>
      <c r="AL226" s="16"/>
      <c r="AM226" s="16"/>
      <c r="AN226" s="16"/>
      <c r="AO226" s="16"/>
      <c r="AP226" s="16"/>
      <c r="AQ226" s="16"/>
      <c r="AR226" s="16"/>
      <c r="AS226" s="16"/>
    </row>
    <row r="227" spans="6:45" x14ac:dyDescent="0.3">
      <c r="F227" s="25"/>
      <c r="G227" s="25"/>
      <c r="H227" s="25"/>
      <c r="I227" s="25"/>
      <c r="J227" s="25"/>
      <c r="K227" s="24"/>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c r="AK227" s="16"/>
      <c r="AL227" s="16"/>
      <c r="AM227" s="16"/>
      <c r="AN227" s="16"/>
      <c r="AO227" s="16"/>
      <c r="AP227" s="16"/>
      <c r="AQ227" s="16"/>
      <c r="AR227" s="16"/>
      <c r="AS227" s="16"/>
    </row>
    <row r="228" spans="6:45" x14ac:dyDescent="0.3">
      <c r="F228" s="25"/>
      <c r="G228" s="25"/>
      <c r="H228" s="25"/>
      <c r="I228" s="25"/>
      <c r="J228" s="25"/>
      <c r="K228" s="24"/>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c r="AK228" s="16"/>
      <c r="AL228" s="16"/>
      <c r="AM228" s="16"/>
      <c r="AN228" s="16"/>
      <c r="AO228" s="16"/>
      <c r="AP228" s="16"/>
      <c r="AQ228" s="16"/>
      <c r="AR228" s="16"/>
      <c r="AS228" s="16"/>
    </row>
    <row r="229" spans="6:45" x14ac:dyDescent="0.3">
      <c r="F229" s="25"/>
      <c r="G229" s="25"/>
      <c r="H229" s="25"/>
      <c r="I229" s="25"/>
      <c r="J229" s="25"/>
      <c r="K229" s="24"/>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c r="AK229" s="16"/>
      <c r="AL229" s="16"/>
      <c r="AM229" s="16"/>
      <c r="AN229" s="16"/>
      <c r="AO229" s="16"/>
      <c r="AP229" s="16"/>
      <c r="AQ229" s="16"/>
      <c r="AR229" s="16"/>
      <c r="AS229" s="16"/>
    </row>
    <row r="230" spans="6:45" x14ac:dyDescent="0.3">
      <c r="F230" s="25"/>
      <c r="G230" s="25"/>
      <c r="H230" s="25"/>
      <c r="I230" s="25"/>
      <c r="J230" s="25"/>
      <c r="K230" s="24"/>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c r="AK230" s="16"/>
      <c r="AL230" s="16"/>
      <c r="AM230" s="16"/>
      <c r="AN230" s="16"/>
      <c r="AO230" s="16"/>
      <c r="AP230" s="16"/>
      <c r="AQ230" s="16"/>
      <c r="AR230" s="16"/>
      <c r="AS230" s="16"/>
    </row>
    <row r="231" spans="6:45" x14ac:dyDescent="0.3">
      <c r="F231" s="25"/>
      <c r="G231" s="25"/>
      <c r="H231" s="25"/>
      <c r="I231" s="25"/>
      <c r="J231" s="25"/>
      <c r="K231" s="24"/>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c r="AK231" s="16"/>
      <c r="AL231" s="16"/>
      <c r="AM231" s="16"/>
      <c r="AN231" s="16"/>
      <c r="AO231" s="16"/>
      <c r="AP231" s="16"/>
      <c r="AQ231" s="16"/>
      <c r="AR231" s="16"/>
      <c r="AS231" s="16"/>
    </row>
    <row r="232" spans="6:45" x14ac:dyDescent="0.3">
      <c r="F232" s="25"/>
      <c r="G232" s="25"/>
      <c r="H232" s="25"/>
      <c r="I232" s="25"/>
      <c r="J232" s="25"/>
      <c r="K232" s="24"/>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c r="AK232" s="16"/>
      <c r="AL232" s="16"/>
      <c r="AM232" s="16"/>
      <c r="AN232" s="16"/>
      <c r="AO232" s="16"/>
      <c r="AP232" s="16"/>
      <c r="AQ232" s="16"/>
      <c r="AR232" s="16"/>
      <c r="AS232" s="16"/>
    </row>
    <row r="233" spans="6:45" x14ac:dyDescent="0.3">
      <c r="F233" s="25"/>
      <c r="G233" s="25"/>
      <c r="H233" s="25"/>
      <c r="I233" s="25"/>
      <c r="J233" s="25"/>
      <c r="K233" s="24"/>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c r="AK233" s="16"/>
      <c r="AL233" s="16"/>
      <c r="AM233" s="16"/>
      <c r="AN233" s="16"/>
      <c r="AO233" s="16"/>
      <c r="AP233" s="16"/>
      <c r="AQ233" s="16"/>
      <c r="AR233" s="16"/>
      <c r="AS233" s="16"/>
    </row>
    <row r="234" spans="6:45" x14ac:dyDescent="0.3">
      <c r="F234" s="25"/>
      <c r="G234" s="25"/>
      <c r="H234" s="25"/>
      <c r="I234" s="25"/>
      <c r="J234" s="25"/>
      <c r="K234" s="24"/>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c r="AK234" s="16"/>
      <c r="AL234" s="16"/>
      <c r="AM234" s="16"/>
      <c r="AN234" s="16"/>
      <c r="AO234" s="16"/>
      <c r="AP234" s="16"/>
      <c r="AQ234" s="16"/>
      <c r="AR234" s="16"/>
      <c r="AS234" s="16"/>
    </row>
    <row r="235" spans="6:45" x14ac:dyDescent="0.3">
      <c r="F235" s="25"/>
      <c r="G235" s="25"/>
      <c r="H235" s="25"/>
      <c r="I235" s="25"/>
      <c r="J235" s="25"/>
      <c r="K235" s="24"/>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c r="AK235" s="16"/>
      <c r="AL235" s="16"/>
      <c r="AM235" s="16"/>
      <c r="AN235" s="16"/>
      <c r="AO235" s="16"/>
      <c r="AP235" s="16"/>
      <c r="AQ235" s="16"/>
      <c r="AR235" s="16"/>
      <c r="AS235" s="16"/>
    </row>
    <row r="236" spans="6:45" x14ac:dyDescent="0.3">
      <c r="F236" s="25"/>
      <c r="G236" s="25"/>
      <c r="H236" s="25"/>
      <c r="I236" s="25"/>
      <c r="J236" s="25"/>
      <c r="K236" s="24"/>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c r="AK236" s="16"/>
      <c r="AL236" s="16"/>
      <c r="AM236" s="16"/>
      <c r="AN236" s="16"/>
      <c r="AO236" s="16"/>
      <c r="AP236" s="16"/>
      <c r="AQ236" s="16"/>
      <c r="AR236" s="16"/>
      <c r="AS236" s="16"/>
    </row>
    <row r="237" spans="6:45" x14ac:dyDescent="0.3">
      <c r="F237" s="25"/>
      <c r="G237" s="25"/>
      <c r="H237" s="25"/>
      <c r="I237" s="25"/>
      <c r="J237" s="25"/>
      <c r="K237" s="24"/>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c r="AK237" s="16"/>
      <c r="AL237" s="16"/>
      <c r="AM237" s="16"/>
      <c r="AN237" s="16"/>
      <c r="AO237" s="16"/>
      <c r="AP237" s="16"/>
      <c r="AQ237" s="16"/>
      <c r="AR237" s="16"/>
      <c r="AS237" s="16"/>
    </row>
    <row r="238" spans="6:45" x14ac:dyDescent="0.3">
      <c r="F238" s="25"/>
      <c r="G238" s="25"/>
      <c r="H238" s="25"/>
      <c r="I238" s="25"/>
      <c r="J238" s="25"/>
      <c r="K238" s="24"/>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c r="AK238" s="16"/>
      <c r="AL238" s="16"/>
      <c r="AM238" s="16"/>
      <c r="AN238" s="16"/>
      <c r="AO238" s="16"/>
      <c r="AP238" s="16"/>
      <c r="AQ238" s="16"/>
      <c r="AR238" s="16"/>
      <c r="AS238" s="16"/>
    </row>
    <row r="239" spans="6:45" x14ac:dyDescent="0.3">
      <c r="F239" s="25"/>
      <c r="G239" s="25"/>
      <c r="H239" s="25"/>
      <c r="I239" s="25"/>
      <c r="J239" s="25"/>
      <c r="K239" s="24"/>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c r="AK239" s="16"/>
      <c r="AL239" s="16"/>
      <c r="AM239" s="16"/>
      <c r="AN239" s="16"/>
      <c r="AO239" s="16"/>
      <c r="AP239" s="16"/>
      <c r="AQ239" s="16"/>
      <c r="AR239" s="16"/>
      <c r="AS239" s="16"/>
    </row>
    <row r="240" spans="6:45" x14ac:dyDescent="0.3">
      <c r="F240" s="25"/>
      <c r="G240" s="25"/>
      <c r="H240" s="25"/>
      <c r="I240" s="25"/>
      <c r="J240" s="25"/>
      <c r="K240" s="24"/>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c r="AK240" s="16"/>
      <c r="AL240" s="16"/>
      <c r="AM240" s="16"/>
      <c r="AN240" s="16"/>
      <c r="AO240" s="16"/>
      <c r="AP240" s="16"/>
      <c r="AQ240" s="16"/>
      <c r="AR240" s="16"/>
      <c r="AS240" s="16"/>
    </row>
    <row r="241" spans="6:45" x14ac:dyDescent="0.3">
      <c r="F241" s="25"/>
      <c r="G241" s="25"/>
      <c r="H241" s="25"/>
      <c r="I241" s="25"/>
      <c r="J241" s="25"/>
      <c r="K241" s="24"/>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c r="AK241" s="16"/>
      <c r="AL241" s="16"/>
      <c r="AM241" s="16"/>
      <c r="AN241" s="16"/>
      <c r="AO241" s="16"/>
      <c r="AP241" s="16"/>
      <c r="AQ241" s="16"/>
      <c r="AR241" s="16"/>
      <c r="AS241" s="16"/>
    </row>
    <row r="242" spans="6:45" x14ac:dyDescent="0.3">
      <c r="F242" s="25"/>
      <c r="G242" s="25"/>
      <c r="H242" s="25"/>
      <c r="I242" s="25"/>
      <c r="J242" s="25"/>
      <c r="K242" s="24"/>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c r="AO242" s="16"/>
      <c r="AP242" s="16"/>
      <c r="AQ242" s="16"/>
      <c r="AR242" s="16"/>
      <c r="AS242" s="16"/>
    </row>
    <row r="243" spans="6:45" x14ac:dyDescent="0.3">
      <c r="F243" s="25"/>
      <c r="G243" s="25"/>
      <c r="H243" s="25"/>
      <c r="I243" s="25"/>
      <c r="J243" s="25"/>
      <c r="K243" s="24"/>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c r="AK243" s="16"/>
      <c r="AL243" s="16"/>
      <c r="AM243" s="16"/>
      <c r="AN243" s="16"/>
      <c r="AO243" s="16"/>
      <c r="AP243" s="16"/>
      <c r="AQ243" s="16"/>
      <c r="AR243" s="16"/>
      <c r="AS243" s="16"/>
    </row>
    <row r="244" spans="6:45" x14ac:dyDescent="0.3">
      <c r="F244" s="25"/>
      <c r="G244" s="25"/>
      <c r="H244" s="25"/>
      <c r="I244" s="25"/>
      <c r="J244" s="25"/>
      <c r="K244" s="24"/>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c r="AK244" s="16"/>
      <c r="AL244" s="16"/>
      <c r="AM244" s="16"/>
      <c r="AN244" s="16"/>
      <c r="AO244" s="16"/>
      <c r="AP244" s="16"/>
      <c r="AQ244" s="16"/>
      <c r="AR244" s="16"/>
      <c r="AS244" s="16"/>
    </row>
    <row r="245" spans="6:45" x14ac:dyDescent="0.3">
      <c r="F245" s="25"/>
      <c r="G245" s="25"/>
      <c r="H245" s="25"/>
      <c r="I245" s="25"/>
      <c r="J245" s="25"/>
      <c r="K245" s="24"/>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c r="AK245" s="16"/>
      <c r="AL245" s="16"/>
      <c r="AM245" s="16"/>
      <c r="AN245" s="16"/>
      <c r="AO245" s="16"/>
      <c r="AP245" s="16"/>
      <c r="AQ245" s="16"/>
      <c r="AR245" s="16"/>
      <c r="AS245" s="16"/>
    </row>
    <row r="246" spans="6:45" x14ac:dyDescent="0.3">
      <c r="F246" s="25"/>
      <c r="G246" s="25"/>
      <c r="H246" s="25"/>
      <c r="I246" s="25"/>
      <c r="J246" s="25"/>
      <c r="K246" s="24"/>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c r="AK246" s="16"/>
      <c r="AL246" s="16"/>
      <c r="AM246" s="16"/>
      <c r="AN246" s="16"/>
      <c r="AO246" s="16"/>
      <c r="AP246" s="16"/>
      <c r="AQ246" s="16"/>
      <c r="AR246" s="16"/>
      <c r="AS246" s="16"/>
    </row>
    <row r="247" spans="6:45" x14ac:dyDescent="0.3">
      <c r="F247" s="25"/>
      <c r="G247" s="25"/>
      <c r="H247" s="25"/>
      <c r="I247" s="25"/>
      <c r="J247" s="25"/>
      <c r="K247" s="24"/>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c r="AK247" s="16"/>
      <c r="AL247" s="16"/>
      <c r="AM247" s="16"/>
      <c r="AN247" s="16"/>
      <c r="AO247" s="16"/>
      <c r="AP247" s="16"/>
      <c r="AQ247" s="16"/>
      <c r="AR247" s="16"/>
      <c r="AS247" s="16"/>
    </row>
    <row r="248" spans="6:45" x14ac:dyDescent="0.3">
      <c r="F248" s="25"/>
      <c r="G248" s="25"/>
      <c r="H248" s="25"/>
      <c r="I248" s="25"/>
      <c r="J248" s="25"/>
      <c r="K248" s="24"/>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c r="AK248" s="16"/>
      <c r="AL248" s="16"/>
      <c r="AM248" s="16"/>
      <c r="AN248" s="16"/>
      <c r="AO248" s="16"/>
      <c r="AP248" s="16"/>
      <c r="AQ248" s="16"/>
      <c r="AR248" s="16"/>
      <c r="AS248" s="16"/>
    </row>
    <row r="249" spans="6:45" x14ac:dyDescent="0.3">
      <c r="F249" s="25"/>
      <c r="G249" s="25"/>
      <c r="H249" s="25"/>
      <c r="I249" s="25"/>
      <c r="J249" s="25"/>
      <c r="K249" s="24"/>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6"/>
      <c r="AO249" s="16"/>
      <c r="AP249" s="16"/>
      <c r="AQ249" s="16"/>
      <c r="AR249" s="16"/>
      <c r="AS249" s="16"/>
    </row>
    <row r="250" spans="6:45" x14ac:dyDescent="0.3">
      <c r="F250" s="25"/>
      <c r="G250" s="25"/>
      <c r="H250" s="25"/>
      <c r="I250" s="25"/>
      <c r="J250" s="25"/>
      <c r="K250" s="24"/>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c r="AK250" s="16"/>
      <c r="AL250" s="16"/>
      <c r="AM250" s="16"/>
      <c r="AN250" s="16"/>
      <c r="AO250" s="16"/>
      <c r="AP250" s="16"/>
      <c r="AQ250" s="16"/>
      <c r="AR250" s="16"/>
      <c r="AS250" s="16"/>
    </row>
    <row r="251" spans="6:45" x14ac:dyDescent="0.3">
      <c r="F251" s="25"/>
      <c r="G251" s="25"/>
      <c r="H251" s="25"/>
      <c r="I251" s="25"/>
      <c r="J251" s="25"/>
      <c r="K251" s="24"/>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c r="AK251" s="16"/>
      <c r="AL251" s="16"/>
      <c r="AM251" s="16"/>
      <c r="AN251" s="16"/>
      <c r="AO251" s="16"/>
      <c r="AP251" s="16"/>
      <c r="AQ251" s="16"/>
      <c r="AR251" s="16"/>
      <c r="AS251" s="16"/>
    </row>
    <row r="252" spans="6:45" x14ac:dyDescent="0.3">
      <c r="F252" s="25"/>
      <c r="G252" s="25"/>
      <c r="H252" s="25"/>
      <c r="I252" s="25"/>
      <c r="J252" s="25"/>
      <c r="K252" s="24"/>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c r="AK252" s="16"/>
      <c r="AL252" s="16"/>
      <c r="AM252" s="16"/>
      <c r="AN252" s="16"/>
      <c r="AO252" s="16"/>
      <c r="AP252" s="16"/>
      <c r="AQ252" s="16"/>
      <c r="AR252" s="16"/>
      <c r="AS252" s="16"/>
    </row>
    <row r="253" spans="6:45" x14ac:dyDescent="0.3">
      <c r="F253" s="25"/>
      <c r="G253" s="25"/>
      <c r="H253" s="25"/>
      <c r="I253" s="25"/>
      <c r="J253" s="25"/>
      <c r="K253" s="24"/>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c r="AK253" s="16"/>
      <c r="AL253" s="16"/>
      <c r="AM253" s="16"/>
      <c r="AN253" s="16"/>
      <c r="AO253" s="16"/>
      <c r="AP253" s="16"/>
      <c r="AQ253" s="16"/>
      <c r="AR253" s="16"/>
      <c r="AS253" s="16"/>
    </row>
    <row r="254" spans="6:45" x14ac:dyDescent="0.3">
      <c r="F254" s="25"/>
      <c r="G254" s="25"/>
      <c r="H254" s="25"/>
      <c r="I254" s="25"/>
      <c r="J254" s="25"/>
      <c r="K254" s="24"/>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c r="AK254" s="16"/>
      <c r="AL254" s="16"/>
      <c r="AM254" s="16"/>
      <c r="AN254" s="16"/>
      <c r="AO254" s="16"/>
      <c r="AP254" s="16"/>
      <c r="AQ254" s="16"/>
      <c r="AR254" s="16"/>
      <c r="AS254" s="16"/>
    </row>
    <row r="255" spans="6:45" x14ac:dyDescent="0.3">
      <c r="F255" s="25"/>
      <c r="G255" s="25"/>
      <c r="H255" s="25"/>
      <c r="I255" s="25"/>
      <c r="J255" s="25"/>
      <c r="K255" s="24"/>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c r="AK255" s="16"/>
      <c r="AL255" s="16"/>
      <c r="AM255" s="16"/>
      <c r="AN255" s="16"/>
      <c r="AO255" s="16"/>
      <c r="AP255" s="16"/>
      <c r="AQ255" s="16"/>
      <c r="AR255" s="16"/>
      <c r="AS255" s="16"/>
    </row>
    <row r="256" spans="6:45" x14ac:dyDescent="0.3">
      <c r="F256" s="25"/>
      <c r="G256" s="25"/>
      <c r="H256" s="25"/>
      <c r="I256" s="25"/>
      <c r="J256" s="25"/>
      <c r="K256" s="24"/>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6"/>
      <c r="AN256" s="16"/>
      <c r="AO256" s="16"/>
      <c r="AP256" s="16"/>
      <c r="AQ256" s="16"/>
      <c r="AR256" s="16"/>
      <c r="AS256" s="16"/>
    </row>
    <row r="257" spans="6:45" x14ac:dyDescent="0.3">
      <c r="F257" s="25"/>
      <c r="G257" s="25"/>
      <c r="H257" s="25"/>
      <c r="I257" s="25"/>
      <c r="J257" s="25"/>
      <c r="K257" s="24"/>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c r="AK257" s="16"/>
      <c r="AL257" s="16"/>
      <c r="AM257" s="16"/>
      <c r="AN257" s="16"/>
      <c r="AO257" s="16"/>
      <c r="AP257" s="16"/>
      <c r="AQ257" s="16"/>
      <c r="AR257" s="16"/>
      <c r="AS257" s="16"/>
    </row>
    <row r="258" spans="6:45" x14ac:dyDescent="0.3">
      <c r="F258" s="25"/>
      <c r="G258" s="25"/>
      <c r="H258" s="25"/>
      <c r="I258" s="25"/>
      <c r="J258" s="25"/>
      <c r="K258" s="24"/>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c r="AK258" s="16"/>
      <c r="AL258" s="16"/>
      <c r="AM258" s="16"/>
      <c r="AN258" s="16"/>
      <c r="AO258" s="16"/>
      <c r="AP258" s="16"/>
      <c r="AQ258" s="16"/>
      <c r="AR258" s="16"/>
      <c r="AS258" s="16"/>
    </row>
    <row r="259" spans="6:45" x14ac:dyDescent="0.3">
      <c r="F259" s="25"/>
      <c r="G259" s="25"/>
      <c r="H259" s="25"/>
      <c r="I259" s="25"/>
      <c r="J259" s="25"/>
      <c r="K259" s="24"/>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c r="AK259" s="16"/>
      <c r="AL259" s="16"/>
      <c r="AM259" s="16"/>
      <c r="AN259" s="16"/>
      <c r="AO259" s="16"/>
      <c r="AP259" s="16"/>
      <c r="AQ259" s="16"/>
      <c r="AR259" s="16"/>
      <c r="AS259" s="16"/>
    </row>
    <row r="260" spans="6:45" x14ac:dyDescent="0.3">
      <c r="F260" s="25"/>
      <c r="G260" s="25"/>
      <c r="H260" s="25"/>
      <c r="I260" s="25"/>
      <c r="J260" s="25"/>
      <c r="K260" s="24"/>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c r="AK260" s="16"/>
      <c r="AL260" s="16"/>
      <c r="AM260" s="16"/>
      <c r="AN260" s="16"/>
      <c r="AO260" s="16"/>
      <c r="AP260" s="16"/>
      <c r="AQ260" s="16"/>
      <c r="AR260" s="16"/>
      <c r="AS260" s="16"/>
    </row>
    <row r="261" spans="6:45" x14ac:dyDescent="0.3">
      <c r="F261" s="25"/>
      <c r="G261" s="25"/>
      <c r="H261" s="25"/>
      <c r="I261" s="25"/>
      <c r="J261" s="25"/>
      <c r="K261" s="24"/>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c r="AK261" s="16"/>
      <c r="AL261" s="16"/>
      <c r="AM261" s="16"/>
      <c r="AN261" s="16"/>
      <c r="AO261" s="16"/>
      <c r="AP261" s="16"/>
      <c r="AQ261" s="16"/>
      <c r="AR261" s="16"/>
      <c r="AS261" s="16"/>
    </row>
    <row r="262" spans="6:45" x14ac:dyDescent="0.3">
      <c r="F262" s="25"/>
      <c r="G262" s="25"/>
      <c r="H262" s="25"/>
      <c r="I262" s="25"/>
      <c r="J262" s="25"/>
      <c r="K262" s="24"/>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c r="AK262" s="16"/>
      <c r="AL262" s="16"/>
      <c r="AM262" s="16"/>
      <c r="AN262" s="16"/>
      <c r="AO262" s="16"/>
      <c r="AP262" s="16"/>
      <c r="AQ262" s="16"/>
      <c r="AR262" s="16"/>
      <c r="AS262" s="16"/>
    </row>
    <row r="263" spans="6:45" x14ac:dyDescent="0.3">
      <c r="F263" s="25"/>
      <c r="G263" s="25"/>
      <c r="H263" s="25"/>
      <c r="I263" s="25"/>
      <c r="J263" s="25"/>
      <c r="K263" s="24"/>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c r="AK263" s="16"/>
      <c r="AL263" s="16"/>
      <c r="AM263" s="16"/>
      <c r="AN263" s="16"/>
      <c r="AO263" s="16"/>
      <c r="AP263" s="16"/>
      <c r="AQ263" s="16"/>
      <c r="AR263" s="16"/>
      <c r="AS263" s="16"/>
    </row>
    <row r="264" spans="6:45" x14ac:dyDescent="0.3">
      <c r="F264" s="25"/>
      <c r="G264" s="25"/>
      <c r="H264" s="25"/>
      <c r="I264" s="25"/>
      <c r="J264" s="25"/>
      <c r="K264" s="24"/>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c r="AK264" s="16"/>
      <c r="AL264" s="16"/>
      <c r="AM264" s="16"/>
      <c r="AN264" s="16"/>
      <c r="AO264" s="16"/>
      <c r="AP264" s="16"/>
      <c r="AQ264" s="16"/>
      <c r="AR264" s="16"/>
      <c r="AS264" s="16"/>
    </row>
    <row r="265" spans="6:45" x14ac:dyDescent="0.3">
      <c r="F265" s="25"/>
      <c r="G265" s="25"/>
      <c r="H265" s="25"/>
      <c r="I265" s="25"/>
      <c r="J265" s="25"/>
      <c r="K265" s="24"/>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c r="AK265" s="16"/>
      <c r="AL265" s="16"/>
      <c r="AM265" s="16"/>
      <c r="AN265" s="16"/>
      <c r="AO265" s="16"/>
      <c r="AP265" s="16"/>
      <c r="AQ265" s="16"/>
      <c r="AR265" s="16"/>
      <c r="AS265" s="16"/>
    </row>
    <row r="266" spans="6:45" x14ac:dyDescent="0.3">
      <c r="F266" s="25"/>
      <c r="G266" s="25"/>
      <c r="H266" s="25"/>
      <c r="I266" s="25"/>
      <c r="J266" s="25"/>
      <c r="K266" s="24"/>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c r="AO266" s="16"/>
      <c r="AP266" s="16"/>
      <c r="AQ266" s="16"/>
      <c r="AR266" s="16"/>
      <c r="AS266" s="16"/>
    </row>
    <row r="267" spans="6:45" x14ac:dyDescent="0.3">
      <c r="F267" s="25"/>
      <c r="G267" s="25"/>
      <c r="H267" s="25"/>
      <c r="I267" s="25"/>
      <c r="J267" s="25"/>
      <c r="K267" s="24"/>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c r="AK267" s="16"/>
      <c r="AL267" s="16"/>
      <c r="AM267" s="16"/>
      <c r="AN267" s="16"/>
      <c r="AO267" s="16"/>
      <c r="AP267" s="16"/>
      <c r="AQ267" s="16"/>
      <c r="AR267" s="16"/>
      <c r="AS267" s="16"/>
    </row>
    <row r="268" spans="6:45" x14ac:dyDescent="0.3">
      <c r="F268" s="25"/>
      <c r="G268" s="25"/>
      <c r="H268" s="25"/>
      <c r="I268" s="25"/>
      <c r="J268" s="25"/>
      <c r="K268" s="24"/>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c r="AK268" s="16"/>
      <c r="AL268" s="16"/>
      <c r="AM268" s="16"/>
      <c r="AN268" s="16"/>
      <c r="AO268" s="16"/>
      <c r="AP268" s="16"/>
      <c r="AQ268" s="16"/>
      <c r="AR268" s="16"/>
      <c r="AS268" s="16"/>
    </row>
    <row r="269" spans="6:45" x14ac:dyDescent="0.3">
      <c r="F269" s="25"/>
      <c r="G269" s="25"/>
      <c r="H269" s="25"/>
      <c r="I269" s="25"/>
      <c r="J269" s="25"/>
      <c r="K269" s="24"/>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c r="AK269" s="16"/>
      <c r="AL269" s="16"/>
      <c r="AM269" s="16"/>
      <c r="AN269" s="16"/>
      <c r="AO269" s="16"/>
      <c r="AP269" s="16"/>
      <c r="AQ269" s="16"/>
      <c r="AR269" s="16"/>
      <c r="AS269" s="16"/>
    </row>
    <row r="270" spans="6:45" x14ac:dyDescent="0.3">
      <c r="F270" s="25"/>
      <c r="G270" s="25"/>
      <c r="H270" s="25"/>
      <c r="I270" s="25"/>
      <c r="J270" s="25"/>
      <c r="K270" s="24"/>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c r="AK270" s="16"/>
      <c r="AL270" s="16"/>
      <c r="AM270" s="16"/>
      <c r="AN270" s="16"/>
      <c r="AO270" s="16"/>
      <c r="AP270" s="16"/>
      <c r="AQ270" s="16"/>
      <c r="AR270" s="16"/>
      <c r="AS270" s="16"/>
    </row>
    <row r="271" spans="6:45" x14ac:dyDescent="0.3">
      <c r="F271" s="25"/>
      <c r="G271" s="25"/>
      <c r="H271" s="25"/>
      <c r="I271" s="25"/>
      <c r="J271" s="25"/>
      <c r="K271" s="24"/>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c r="AK271" s="16"/>
      <c r="AL271" s="16"/>
      <c r="AM271" s="16"/>
      <c r="AN271" s="16"/>
      <c r="AO271" s="16"/>
      <c r="AP271" s="16"/>
      <c r="AQ271" s="16"/>
      <c r="AR271" s="16"/>
      <c r="AS271" s="16"/>
    </row>
    <row r="272" spans="6:45" x14ac:dyDescent="0.3">
      <c r="F272" s="25"/>
      <c r="G272" s="25"/>
      <c r="H272" s="25"/>
      <c r="I272" s="25"/>
      <c r="J272" s="25"/>
      <c r="K272" s="24"/>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c r="AK272" s="16"/>
      <c r="AL272" s="16"/>
      <c r="AM272" s="16"/>
      <c r="AN272" s="16"/>
      <c r="AO272" s="16"/>
      <c r="AP272" s="16"/>
      <c r="AQ272" s="16"/>
      <c r="AR272" s="16"/>
      <c r="AS272" s="16"/>
    </row>
    <row r="273" spans="6:45" x14ac:dyDescent="0.3">
      <c r="F273" s="25"/>
      <c r="G273" s="25"/>
      <c r="H273" s="25"/>
      <c r="I273" s="25"/>
      <c r="J273" s="25"/>
      <c r="K273" s="24"/>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c r="AK273" s="16"/>
      <c r="AL273" s="16"/>
      <c r="AM273" s="16"/>
      <c r="AN273" s="16"/>
      <c r="AO273" s="16"/>
      <c r="AP273" s="16"/>
      <c r="AQ273" s="16"/>
      <c r="AR273" s="16"/>
      <c r="AS273" s="16"/>
    </row>
    <row r="274" spans="6:45" x14ac:dyDescent="0.3">
      <c r="F274" s="25"/>
      <c r="G274" s="25"/>
      <c r="H274" s="25"/>
      <c r="I274" s="25"/>
      <c r="J274" s="25"/>
      <c r="K274" s="24"/>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c r="AK274" s="16"/>
      <c r="AL274" s="16"/>
      <c r="AM274" s="16"/>
      <c r="AN274" s="16"/>
      <c r="AO274" s="16"/>
      <c r="AP274" s="16"/>
      <c r="AQ274" s="16"/>
      <c r="AR274" s="16"/>
      <c r="AS274" s="16"/>
    </row>
    <row r="275" spans="6:45" x14ac:dyDescent="0.3">
      <c r="F275" s="25"/>
      <c r="G275" s="25"/>
      <c r="H275" s="25"/>
      <c r="I275" s="25"/>
      <c r="J275" s="25"/>
      <c r="K275" s="24"/>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c r="AK275" s="16"/>
      <c r="AL275" s="16"/>
      <c r="AM275" s="16"/>
      <c r="AN275" s="16"/>
      <c r="AO275" s="16"/>
      <c r="AP275" s="16"/>
      <c r="AQ275" s="16"/>
      <c r="AR275" s="16"/>
      <c r="AS275" s="16"/>
    </row>
    <row r="276" spans="6:45" x14ac:dyDescent="0.3">
      <c r="F276" s="25"/>
      <c r="G276" s="25"/>
      <c r="H276" s="25"/>
      <c r="I276" s="25"/>
      <c r="J276" s="25"/>
      <c r="K276" s="24"/>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c r="AK276" s="16"/>
      <c r="AL276" s="16"/>
      <c r="AM276" s="16"/>
      <c r="AN276" s="16"/>
      <c r="AO276" s="16"/>
      <c r="AP276" s="16"/>
      <c r="AQ276" s="16"/>
      <c r="AR276" s="16"/>
      <c r="AS276" s="16"/>
    </row>
    <row r="277" spans="6:45" x14ac:dyDescent="0.3">
      <c r="F277" s="25"/>
      <c r="G277" s="25"/>
      <c r="H277" s="25"/>
      <c r="I277" s="25"/>
      <c r="J277" s="25"/>
      <c r="K277" s="24"/>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c r="AK277" s="16"/>
      <c r="AL277" s="16"/>
      <c r="AM277" s="16"/>
      <c r="AN277" s="16"/>
      <c r="AO277" s="16"/>
      <c r="AP277" s="16"/>
      <c r="AQ277" s="16"/>
      <c r="AR277" s="16"/>
      <c r="AS277" s="16"/>
    </row>
    <row r="278" spans="6:45" x14ac:dyDescent="0.3">
      <c r="F278" s="25"/>
      <c r="G278" s="25"/>
      <c r="H278" s="25"/>
      <c r="I278" s="25"/>
      <c r="J278" s="25"/>
      <c r="K278" s="24"/>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c r="AK278" s="16"/>
      <c r="AL278" s="16"/>
      <c r="AM278" s="16"/>
      <c r="AN278" s="16"/>
      <c r="AO278" s="16"/>
      <c r="AP278" s="16"/>
      <c r="AQ278" s="16"/>
      <c r="AR278" s="16"/>
      <c r="AS278" s="16"/>
    </row>
    <row r="279" spans="6:45" x14ac:dyDescent="0.3">
      <c r="F279" s="25"/>
      <c r="G279" s="25"/>
      <c r="H279" s="25"/>
      <c r="I279" s="25"/>
      <c r="J279" s="25"/>
      <c r="K279" s="24"/>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c r="AO279" s="16"/>
      <c r="AP279" s="16"/>
      <c r="AQ279" s="16"/>
      <c r="AR279" s="16"/>
      <c r="AS279" s="16"/>
    </row>
    <row r="280" spans="6:45" x14ac:dyDescent="0.3">
      <c r="F280" s="25"/>
      <c r="G280" s="25"/>
      <c r="H280" s="25"/>
      <c r="I280" s="25"/>
      <c r="J280" s="25"/>
      <c r="K280" s="24"/>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c r="AK280" s="16"/>
      <c r="AL280" s="16"/>
      <c r="AM280" s="16"/>
      <c r="AN280" s="16"/>
      <c r="AO280" s="16"/>
      <c r="AP280" s="16"/>
      <c r="AQ280" s="16"/>
      <c r="AR280" s="16"/>
      <c r="AS280" s="16"/>
    </row>
    <row r="281" spans="6:45" x14ac:dyDescent="0.3">
      <c r="F281" s="25"/>
      <c r="G281" s="25"/>
      <c r="H281" s="25"/>
      <c r="I281" s="25"/>
      <c r="J281" s="25"/>
      <c r="K281" s="24"/>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c r="AK281" s="16"/>
      <c r="AL281" s="16"/>
      <c r="AM281" s="16"/>
      <c r="AN281" s="16"/>
      <c r="AO281" s="16"/>
      <c r="AP281" s="16"/>
      <c r="AQ281" s="16"/>
      <c r="AR281" s="16"/>
      <c r="AS281" s="16"/>
    </row>
    <row r="282" spans="6:45" x14ac:dyDescent="0.3">
      <c r="F282" s="25"/>
      <c r="G282" s="25"/>
      <c r="H282" s="25"/>
      <c r="I282" s="25"/>
      <c r="J282" s="25"/>
      <c r="K282" s="24"/>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c r="AK282" s="16"/>
      <c r="AL282" s="16"/>
      <c r="AM282" s="16"/>
      <c r="AN282" s="16"/>
      <c r="AO282" s="16"/>
      <c r="AP282" s="16"/>
      <c r="AQ282" s="16"/>
      <c r="AR282" s="16"/>
      <c r="AS282" s="16"/>
    </row>
    <row r="283" spans="6:45" x14ac:dyDescent="0.3">
      <c r="F283" s="25"/>
      <c r="G283" s="25"/>
      <c r="H283" s="25"/>
      <c r="I283" s="25"/>
      <c r="J283" s="25"/>
      <c r="K283" s="24"/>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c r="AK283" s="16"/>
      <c r="AL283" s="16"/>
      <c r="AM283" s="16"/>
      <c r="AN283" s="16"/>
      <c r="AO283" s="16"/>
      <c r="AP283" s="16"/>
      <c r="AQ283" s="16"/>
      <c r="AR283" s="16"/>
      <c r="AS283" s="16"/>
    </row>
    <row r="284" spans="6:45" x14ac:dyDescent="0.3">
      <c r="F284" s="25"/>
      <c r="G284" s="25"/>
      <c r="H284" s="25"/>
      <c r="I284" s="25"/>
      <c r="J284" s="25"/>
      <c r="K284" s="25"/>
      <c r="Q284" s="16"/>
      <c r="R284" s="16"/>
      <c r="S284" s="16"/>
      <c r="T284" s="16"/>
      <c r="U284" s="16"/>
      <c r="V284" s="16"/>
      <c r="W284" s="16"/>
      <c r="X284" s="16"/>
      <c r="Y284" s="16"/>
      <c r="Z284" s="16"/>
      <c r="AA284" s="16"/>
      <c r="AB284" s="16"/>
      <c r="AC284" s="16"/>
      <c r="AD284" s="16"/>
      <c r="AE284" s="16"/>
      <c r="AF284" s="16"/>
      <c r="AG284" s="16"/>
      <c r="AH284" s="16"/>
      <c r="AI284" s="16"/>
      <c r="AJ284" s="16"/>
      <c r="AK284" s="16"/>
      <c r="AL284" s="16"/>
      <c r="AM284" s="16"/>
      <c r="AN284" s="16"/>
      <c r="AO284" s="16"/>
      <c r="AP284" s="16"/>
      <c r="AQ284" s="16"/>
      <c r="AR284" s="16"/>
      <c r="AS284" s="16"/>
    </row>
    <row r="285" spans="6:45" x14ac:dyDescent="0.3">
      <c r="F285" s="25"/>
      <c r="G285" s="25"/>
      <c r="H285" s="25"/>
      <c r="I285" s="25"/>
      <c r="J285" s="25"/>
      <c r="K285" s="25"/>
      <c r="Q285" s="16"/>
      <c r="R285" s="16"/>
      <c r="S285" s="16"/>
      <c r="T285" s="16"/>
      <c r="U285" s="16"/>
      <c r="V285" s="16"/>
      <c r="W285" s="16"/>
      <c r="X285" s="16"/>
      <c r="Y285" s="16"/>
      <c r="Z285" s="16"/>
      <c r="AA285" s="16"/>
      <c r="AB285" s="16"/>
      <c r="AC285" s="16"/>
      <c r="AD285" s="16"/>
      <c r="AE285" s="16"/>
      <c r="AF285" s="16"/>
      <c r="AG285" s="16"/>
      <c r="AH285" s="16"/>
      <c r="AI285" s="16"/>
      <c r="AJ285" s="16"/>
      <c r="AK285" s="16"/>
      <c r="AL285" s="16"/>
      <c r="AM285" s="16"/>
      <c r="AN285" s="16"/>
      <c r="AO285" s="16"/>
      <c r="AP285" s="16"/>
      <c r="AQ285" s="16"/>
      <c r="AR285" s="16"/>
      <c r="AS285" s="16"/>
    </row>
    <row r="286" spans="6:45" x14ac:dyDescent="0.3">
      <c r="F286" s="25"/>
      <c r="G286" s="25"/>
      <c r="H286" s="25"/>
      <c r="I286" s="25"/>
      <c r="J286" s="25"/>
      <c r="K286" s="25"/>
      <c r="Q286" s="16"/>
      <c r="R286" s="16"/>
      <c r="S286" s="16"/>
      <c r="T286" s="16"/>
      <c r="U286" s="16"/>
      <c r="V286" s="16"/>
      <c r="W286" s="16"/>
      <c r="X286" s="16"/>
      <c r="Y286" s="16"/>
      <c r="Z286" s="16"/>
      <c r="AA286" s="16"/>
      <c r="AB286" s="16"/>
      <c r="AC286" s="16"/>
      <c r="AD286" s="16"/>
      <c r="AE286" s="16"/>
      <c r="AF286" s="16"/>
      <c r="AG286" s="16"/>
      <c r="AH286" s="16"/>
      <c r="AI286" s="16"/>
      <c r="AJ286" s="16"/>
      <c r="AK286" s="16"/>
      <c r="AL286" s="16"/>
      <c r="AM286" s="16"/>
      <c r="AN286" s="16"/>
      <c r="AO286" s="16"/>
      <c r="AP286" s="16"/>
      <c r="AQ286" s="16"/>
      <c r="AR286" s="16"/>
      <c r="AS286" s="16"/>
    </row>
    <row r="287" spans="6:45" x14ac:dyDescent="0.3">
      <c r="F287" s="25"/>
      <c r="G287" s="25"/>
      <c r="H287" s="25"/>
      <c r="I287" s="25"/>
      <c r="J287" s="25"/>
      <c r="K287" s="25"/>
      <c r="Q287" s="16"/>
      <c r="R287" s="16"/>
      <c r="S287" s="16"/>
      <c r="T287" s="16"/>
      <c r="U287" s="16"/>
      <c r="V287" s="16"/>
      <c r="W287" s="16"/>
      <c r="X287" s="16"/>
      <c r="Y287" s="16"/>
      <c r="Z287" s="16"/>
      <c r="AA287" s="16"/>
      <c r="AB287" s="16"/>
      <c r="AC287" s="16"/>
      <c r="AD287" s="16"/>
      <c r="AE287" s="16"/>
      <c r="AF287" s="16"/>
      <c r="AG287" s="16"/>
      <c r="AH287" s="16"/>
      <c r="AI287" s="16"/>
      <c r="AJ287" s="16"/>
      <c r="AK287" s="16"/>
      <c r="AL287" s="16"/>
      <c r="AM287" s="16"/>
      <c r="AN287" s="16"/>
      <c r="AO287" s="16"/>
      <c r="AP287" s="16"/>
      <c r="AQ287" s="16"/>
      <c r="AR287" s="16"/>
      <c r="AS287" s="16"/>
    </row>
    <row r="288" spans="6:45" x14ac:dyDescent="0.3">
      <c r="F288" s="25"/>
      <c r="G288" s="25"/>
      <c r="H288" s="25"/>
      <c r="I288" s="25"/>
      <c r="J288" s="25"/>
      <c r="K288" s="25"/>
      <c r="Q288" s="16"/>
      <c r="R288" s="16"/>
      <c r="S288" s="16"/>
      <c r="T288" s="16"/>
      <c r="U288" s="16"/>
      <c r="V288" s="16"/>
      <c r="W288" s="16"/>
      <c r="X288" s="16"/>
      <c r="Y288" s="16"/>
      <c r="Z288" s="16"/>
      <c r="AA288" s="16"/>
      <c r="AB288" s="16"/>
      <c r="AC288" s="16"/>
      <c r="AD288" s="16"/>
      <c r="AE288" s="16"/>
      <c r="AF288" s="16"/>
      <c r="AG288" s="16"/>
      <c r="AH288" s="16"/>
      <c r="AI288" s="16"/>
      <c r="AJ288" s="16"/>
      <c r="AK288" s="16"/>
      <c r="AL288" s="16"/>
      <c r="AM288" s="16"/>
      <c r="AN288" s="16"/>
      <c r="AO288" s="16"/>
      <c r="AP288" s="16"/>
      <c r="AQ288" s="16"/>
      <c r="AR288" s="16"/>
      <c r="AS288" s="16"/>
    </row>
    <row r="289" spans="6:45" x14ac:dyDescent="0.3">
      <c r="F289" s="25"/>
      <c r="G289" s="25"/>
      <c r="H289" s="25"/>
      <c r="I289" s="25"/>
      <c r="J289" s="25"/>
      <c r="K289" s="25"/>
      <c r="Q289" s="16"/>
      <c r="R289" s="16"/>
      <c r="S289" s="16"/>
      <c r="T289" s="16"/>
      <c r="U289" s="16"/>
      <c r="V289" s="16"/>
      <c r="W289" s="16"/>
      <c r="X289" s="16"/>
      <c r="Y289" s="16"/>
      <c r="Z289" s="16"/>
      <c r="AA289" s="16"/>
      <c r="AB289" s="16"/>
      <c r="AC289" s="16"/>
      <c r="AD289" s="16"/>
      <c r="AE289" s="16"/>
      <c r="AF289" s="16"/>
      <c r="AG289" s="16"/>
      <c r="AH289" s="16"/>
      <c r="AI289" s="16"/>
      <c r="AJ289" s="16"/>
      <c r="AK289" s="16"/>
      <c r="AL289" s="16"/>
      <c r="AM289" s="16"/>
      <c r="AN289" s="16"/>
      <c r="AO289" s="16"/>
      <c r="AP289" s="16"/>
      <c r="AQ289" s="16"/>
      <c r="AR289" s="16"/>
      <c r="AS289" s="16"/>
    </row>
    <row r="290" spans="6:45" x14ac:dyDescent="0.3">
      <c r="F290" s="25"/>
      <c r="G290" s="25"/>
      <c r="H290" s="25"/>
      <c r="I290" s="25"/>
      <c r="J290" s="25"/>
      <c r="K290" s="25"/>
      <c r="Q290" s="16"/>
      <c r="R290" s="16"/>
      <c r="S290" s="16"/>
      <c r="T290" s="16"/>
      <c r="U290" s="16"/>
      <c r="V290" s="16"/>
      <c r="W290" s="16"/>
      <c r="X290" s="16"/>
      <c r="Y290" s="16"/>
      <c r="Z290" s="16"/>
      <c r="AA290" s="16"/>
      <c r="AB290" s="16"/>
      <c r="AC290" s="16"/>
      <c r="AD290" s="16"/>
      <c r="AE290" s="16"/>
      <c r="AF290" s="16"/>
      <c r="AG290" s="16"/>
      <c r="AH290" s="16"/>
      <c r="AI290" s="16"/>
      <c r="AJ290" s="16"/>
      <c r="AK290" s="16"/>
      <c r="AL290" s="16"/>
      <c r="AM290" s="16"/>
      <c r="AN290" s="16"/>
      <c r="AO290" s="16"/>
      <c r="AP290" s="16"/>
      <c r="AQ290" s="16"/>
      <c r="AR290" s="16"/>
      <c r="AS290" s="16"/>
    </row>
    <row r="291" spans="6:45" x14ac:dyDescent="0.3">
      <c r="F291" s="25"/>
      <c r="G291" s="25"/>
      <c r="H291" s="25"/>
      <c r="I291" s="25"/>
      <c r="J291" s="25"/>
      <c r="K291" s="25"/>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c r="AO291" s="16"/>
      <c r="AP291" s="16"/>
      <c r="AQ291" s="16"/>
      <c r="AR291" s="16"/>
      <c r="AS291" s="16"/>
    </row>
    <row r="292" spans="6:45" x14ac:dyDescent="0.3">
      <c r="F292" s="25"/>
      <c r="G292" s="25"/>
      <c r="H292" s="25"/>
      <c r="I292" s="25"/>
      <c r="J292" s="25"/>
      <c r="K292" s="25"/>
      <c r="Q292" s="16"/>
      <c r="R292" s="16"/>
      <c r="S292" s="16"/>
      <c r="T292" s="16"/>
      <c r="U292" s="16"/>
      <c r="V292" s="16"/>
      <c r="W292" s="16"/>
      <c r="X292" s="16"/>
      <c r="Y292" s="16"/>
      <c r="Z292" s="16"/>
      <c r="AA292" s="16"/>
      <c r="AB292" s="16"/>
      <c r="AC292" s="16"/>
      <c r="AD292" s="16"/>
      <c r="AE292" s="16"/>
      <c r="AF292" s="16"/>
      <c r="AG292" s="16"/>
      <c r="AH292" s="16"/>
      <c r="AI292" s="16"/>
      <c r="AJ292" s="16"/>
      <c r="AK292" s="16"/>
      <c r="AL292" s="16"/>
      <c r="AM292" s="16"/>
      <c r="AN292" s="16"/>
      <c r="AO292" s="16"/>
      <c r="AP292" s="16"/>
      <c r="AQ292" s="16"/>
      <c r="AR292" s="16"/>
      <c r="AS292" s="16"/>
    </row>
    <row r="293" spans="6:45" x14ac:dyDescent="0.3">
      <c r="F293" s="25"/>
      <c r="G293" s="25"/>
      <c r="H293" s="25"/>
      <c r="I293" s="25"/>
      <c r="J293" s="25"/>
      <c r="K293" s="25"/>
      <c r="Q293" s="16"/>
      <c r="R293" s="16"/>
      <c r="S293" s="16"/>
      <c r="T293" s="16"/>
      <c r="U293" s="16"/>
      <c r="V293" s="16"/>
      <c r="W293" s="16"/>
      <c r="X293" s="16"/>
      <c r="Y293" s="16"/>
      <c r="Z293" s="16"/>
      <c r="AA293" s="16"/>
      <c r="AB293" s="16"/>
      <c r="AC293" s="16"/>
      <c r="AD293" s="16"/>
      <c r="AE293" s="16"/>
      <c r="AF293" s="16"/>
      <c r="AG293" s="16"/>
      <c r="AH293" s="16"/>
      <c r="AI293" s="16"/>
      <c r="AJ293" s="16"/>
      <c r="AK293" s="16"/>
      <c r="AL293" s="16"/>
      <c r="AM293" s="16"/>
      <c r="AN293" s="16"/>
      <c r="AO293" s="16"/>
      <c r="AP293" s="16"/>
      <c r="AQ293" s="16"/>
      <c r="AR293" s="16"/>
      <c r="AS293" s="16"/>
    </row>
    <row r="294" spans="6:45" x14ac:dyDescent="0.3">
      <c r="F294" s="25"/>
      <c r="G294" s="25"/>
      <c r="H294" s="25"/>
      <c r="I294" s="25"/>
      <c r="J294" s="25"/>
      <c r="K294" s="25"/>
      <c r="Q294" s="16"/>
      <c r="R294" s="16"/>
      <c r="S294" s="16"/>
      <c r="T294" s="16"/>
      <c r="U294" s="16"/>
      <c r="V294" s="16"/>
      <c r="W294" s="16"/>
      <c r="X294" s="16"/>
      <c r="Y294" s="16"/>
      <c r="Z294" s="16"/>
      <c r="AA294" s="16"/>
      <c r="AB294" s="16"/>
      <c r="AC294" s="16"/>
      <c r="AD294" s="16"/>
      <c r="AE294" s="16"/>
      <c r="AF294" s="16"/>
      <c r="AG294" s="16"/>
      <c r="AH294" s="16"/>
      <c r="AI294" s="16"/>
      <c r="AJ294" s="16"/>
      <c r="AK294" s="16"/>
      <c r="AL294" s="16"/>
      <c r="AM294" s="16"/>
      <c r="AN294" s="16"/>
      <c r="AO294" s="16"/>
      <c r="AP294" s="16"/>
      <c r="AQ294" s="16"/>
      <c r="AR294" s="16"/>
      <c r="AS294" s="16"/>
    </row>
    <row r="295" spans="6:45" x14ac:dyDescent="0.3">
      <c r="F295" s="25"/>
      <c r="G295" s="25"/>
      <c r="H295" s="25"/>
      <c r="I295" s="25"/>
      <c r="J295" s="25"/>
      <c r="K295" s="25"/>
      <c r="Q295" s="16"/>
      <c r="R295" s="16"/>
      <c r="S295" s="16"/>
      <c r="T295" s="16"/>
      <c r="U295" s="16"/>
      <c r="V295" s="16"/>
      <c r="W295" s="16"/>
      <c r="X295" s="16"/>
      <c r="Y295" s="16"/>
      <c r="Z295" s="16"/>
      <c r="AA295" s="16"/>
      <c r="AB295" s="16"/>
      <c r="AC295" s="16"/>
      <c r="AD295" s="16"/>
      <c r="AE295" s="16"/>
      <c r="AF295" s="16"/>
      <c r="AG295" s="16"/>
      <c r="AH295" s="16"/>
      <c r="AI295" s="16"/>
      <c r="AJ295" s="16"/>
      <c r="AK295" s="16"/>
      <c r="AL295" s="16"/>
      <c r="AM295" s="16"/>
      <c r="AN295" s="16"/>
      <c r="AO295" s="16"/>
      <c r="AP295" s="16"/>
      <c r="AQ295" s="16"/>
      <c r="AR295" s="16"/>
      <c r="AS295" s="16"/>
    </row>
    <row r="296" spans="6:45" x14ac:dyDescent="0.3">
      <c r="F296" s="25"/>
      <c r="G296" s="25"/>
      <c r="H296" s="25"/>
      <c r="I296" s="25"/>
      <c r="J296" s="25"/>
      <c r="K296" s="25"/>
      <c r="Q296" s="16"/>
      <c r="R296" s="16"/>
      <c r="S296" s="16"/>
      <c r="T296" s="16"/>
      <c r="U296" s="16"/>
      <c r="V296" s="16"/>
      <c r="W296" s="16"/>
      <c r="X296" s="16"/>
      <c r="Y296" s="16"/>
      <c r="Z296" s="16"/>
      <c r="AA296" s="16"/>
      <c r="AB296" s="16"/>
      <c r="AC296" s="16"/>
      <c r="AD296" s="16"/>
      <c r="AE296" s="16"/>
      <c r="AF296" s="16"/>
      <c r="AG296" s="16"/>
      <c r="AH296" s="16"/>
      <c r="AI296" s="16"/>
      <c r="AJ296" s="16"/>
      <c r="AK296" s="16"/>
      <c r="AL296" s="16"/>
      <c r="AM296" s="16"/>
      <c r="AN296" s="16"/>
      <c r="AO296" s="16"/>
      <c r="AP296" s="16"/>
      <c r="AQ296" s="16"/>
      <c r="AR296" s="16"/>
      <c r="AS296" s="16"/>
    </row>
    <row r="297" spans="6:45" x14ac:dyDescent="0.3">
      <c r="F297" s="25"/>
      <c r="G297" s="25"/>
      <c r="H297" s="25"/>
      <c r="I297" s="25"/>
      <c r="J297" s="25"/>
      <c r="K297" s="25"/>
      <c r="Q297" s="16"/>
      <c r="R297" s="16"/>
      <c r="S297" s="16"/>
      <c r="T297" s="16"/>
      <c r="U297" s="16"/>
      <c r="V297" s="16"/>
      <c r="W297" s="16"/>
      <c r="X297" s="16"/>
      <c r="Y297" s="16"/>
      <c r="Z297" s="16"/>
      <c r="AA297" s="16"/>
      <c r="AB297" s="16"/>
      <c r="AC297" s="16"/>
      <c r="AD297" s="16"/>
      <c r="AE297" s="16"/>
      <c r="AF297" s="16"/>
      <c r="AG297" s="16"/>
      <c r="AH297" s="16"/>
      <c r="AI297" s="16"/>
      <c r="AJ297" s="16"/>
      <c r="AK297" s="16"/>
      <c r="AL297" s="16"/>
      <c r="AM297" s="16"/>
      <c r="AN297" s="16"/>
      <c r="AO297" s="16"/>
      <c r="AP297" s="16"/>
      <c r="AQ297" s="16"/>
      <c r="AR297" s="16"/>
      <c r="AS297" s="16"/>
    </row>
    <row r="298" spans="6:45" x14ac:dyDescent="0.3">
      <c r="F298" s="25"/>
      <c r="G298" s="25"/>
      <c r="H298" s="25"/>
      <c r="I298" s="25"/>
      <c r="J298" s="25"/>
      <c r="K298" s="25"/>
      <c r="Q298" s="16"/>
      <c r="R298" s="16"/>
      <c r="S298" s="16"/>
      <c r="T298" s="16"/>
      <c r="U298" s="16"/>
      <c r="V298" s="16"/>
      <c r="W298" s="16"/>
      <c r="X298" s="16"/>
      <c r="Y298" s="16"/>
      <c r="Z298" s="16"/>
      <c r="AA298" s="16"/>
      <c r="AB298" s="16"/>
      <c r="AC298" s="16"/>
      <c r="AD298" s="16"/>
      <c r="AE298" s="16"/>
      <c r="AF298" s="16"/>
      <c r="AG298" s="16"/>
      <c r="AH298" s="16"/>
      <c r="AI298" s="16"/>
      <c r="AJ298" s="16"/>
      <c r="AK298" s="16"/>
      <c r="AL298" s="16"/>
      <c r="AM298" s="16"/>
      <c r="AN298" s="16"/>
      <c r="AO298" s="16"/>
      <c r="AP298" s="16"/>
      <c r="AQ298" s="16"/>
      <c r="AR298" s="16"/>
      <c r="AS298" s="16"/>
    </row>
    <row r="299" spans="6:45" x14ac:dyDescent="0.3">
      <c r="F299" s="25"/>
      <c r="G299" s="25"/>
      <c r="H299" s="25"/>
      <c r="I299" s="25"/>
      <c r="J299" s="25"/>
      <c r="K299" s="25"/>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6"/>
      <c r="AN299" s="16"/>
      <c r="AO299" s="16"/>
      <c r="AP299" s="16"/>
      <c r="AQ299" s="16"/>
      <c r="AR299" s="16"/>
      <c r="AS299" s="16"/>
    </row>
    <row r="300" spans="6:45" x14ac:dyDescent="0.3">
      <c r="F300" s="25"/>
      <c r="G300" s="25"/>
      <c r="H300" s="25"/>
      <c r="I300" s="25"/>
      <c r="J300" s="25"/>
      <c r="K300" s="25"/>
      <c r="Q300" s="16"/>
      <c r="R300" s="16"/>
      <c r="S300" s="16"/>
      <c r="T300" s="16"/>
      <c r="U300" s="16"/>
      <c r="V300" s="16"/>
      <c r="W300" s="16"/>
      <c r="X300" s="16"/>
      <c r="Y300" s="16"/>
      <c r="Z300" s="16"/>
      <c r="AA300" s="16"/>
      <c r="AB300" s="16"/>
      <c r="AC300" s="16"/>
      <c r="AD300" s="16"/>
      <c r="AE300" s="16"/>
      <c r="AF300" s="16"/>
      <c r="AG300" s="16"/>
      <c r="AH300" s="16"/>
      <c r="AI300" s="16"/>
      <c r="AJ300" s="16"/>
      <c r="AK300" s="16"/>
      <c r="AL300" s="16"/>
      <c r="AM300" s="16"/>
      <c r="AN300" s="16"/>
      <c r="AO300" s="16"/>
      <c r="AP300" s="16"/>
      <c r="AQ300" s="16"/>
      <c r="AR300" s="16"/>
      <c r="AS300" s="16"/>
    </row>
    <row r="301" spans="6:45" x14ac:dyDescent="0.3">
      <c r="F301" s="25"/>
      <c r="G301" s="25"/>
      <c r="H301" s="25"/>
      <c r="I301" s="25"/>
      <c r="J301" s="25"/>
      <c r="K301" s="25"/>
      <c r="Q301" s="16"/>
      <c r="R301" s="16"/>
      <c r="S301" s="16"/>
      <c r="T301" s="16"/>
      <c r="U301" s="16"/>
      <c r="V301" s="16"/>
      <c r="W301" s="16"/>
      <c r="X301" s="16"/>
      <c r="Y301" s="16"/>
      <c r="Z301" s="16"/>
      <c r="AA301" s="16"/>
      <c r="AB301" s="16"/>
      <c r="AC301" s="16"/>
      <c r="AD301" s="16"/>
      <c r="AE301" s="16"/>
      <c r="AF301" s="16"/>
      <c r="AG301" s="16"/>
      <c r="AH301" s="16"/>
      <c r="AI301" s="16"/>
      <c r="AJ301" s="16"/>
      <c r="AK301" s="16"/>
      <c r="AL301" s="16"/>
      <c r="AM301" s="16"/>
      <c r="AN301" s="16"/>
      <c r="AO301" s="16"/>
      <c r="AP301" s="16"/>
      <c r="AQ301" s="16"/>
      <c r="AR301" s="16"/>
      <c r="AS301" s="16"/>
    </row>
    <row r="302" spans="6:45" x14ac:dyDescent="0.3">
      <c r="F302" s="25"/>
      <c r="G302" s="25"/>
      <c r="H302" s="25"/>
      <c r="I302" s="25"/>
      <c r="J302" s="25"/>
      <c r="K302" s="25"/>
      <c r="Q302" s="16"/>
      <c r="R302" s="16"/>
      <c r="S302" s="16"/>
      <c r="T302" s="16"/>
      <c r="U302" s="16"/>
      <c r="V302" s="16"/>
      <c r="W302" s="16"/>
      <c r="X302" s="16"/>
      <c r="Y302" s="16"/>
      <c r="Z302" s="16"/>
      <c r="AA302" s="16"/>
      <c r="AB302" s="16"/>
      <c r="AC302" s="16"/>
      <c r="AD302" s="16"/>
      <c r="AE302" s="16"/>
      <c r="AF302" s="16"/>
      <c r="AG302" s="16"/>
      <c r="AH302" s="16"/>
      <c r="AI302" s="16"/>
      <c r="AJ302" s="16"/>
      <c r="AK302" s="16"/>
      <c r="AL302" s="16"/>
      <c r="AM302" s="16"/>
      <c r="AN302" s="16"/>
      <c r="AO302" s="16"/>
      <c r="AP302" s="16"/>
      <c r="AQ302" s="16"/>
      <c r="AR302" s="16"/>
      <c r="AS302" s="16"/>
    </row>
    <row r="303" spans="6:45" x14ac:dyDescent="0.3">
      <c r="F303" s="25"/>
      <c r="G303" s="25"/>
      <c r="H303" s="25"/>
      <c r="I303" s="25"/>
      <c r="J303" s="25"/>
      <c r="K303" s="25"/>
      <c r="Q303" s="16"/>
      <c r="R303" s="16"/>
      <c r="S303" s="16"/>
      <c r="T303" s="16"/>
      <c r="U303" s="16"/>
      <c r="V303" s="16"/>
      <c r="W303" s="16"/>
      <c r="X303" s="16"/>
      <c r="Y303" s="16"/>
      <c r="Z303" s="16"/>
      <c r="AA303" s="16"/>
      <c r="AB303" s="16"/>
      <c r="AC303" s="16"/>
      <c r="AD303" s="16"/>
      <c r="AE303" s="16"/>
      <c r="AF303" s="16"/>
      <c r="AG303" s="16"/>
      <c r="AH303" s="16"/>
      <c r="AI303" s="16"/>
      <c r="AJ303" s="16"/>
      <c r="AK303" s="16"/>
      <c r="AL303" s="16"/>
      <c r="AM303" s="16"/>
      <c r="AN303" s="16"/>
      <c r="AO303" s="16"/>
      <c r="AP303" s="16"/>
      <c r="AQ303" s="16"/>
      <c r="AR303" s="16"/>
      <c r="AS303" s="16"/>
    </row>
    <row r="304" spans="6:45" x14ac:dyDescent="0.3">
      <c r="F304" s="25"/>
      <c r="G304" s="25"/>
      <c r="H304" s="25"/>
      <c r="I304" s="25"/>
      <c r="J304" s="25"/>
      <c r="K304" s="25"/>
      <c r="Q304" s="16"/>
      <c r="R304" s="16"/>
      <c r="S304" s="16"/>
      <c r="T304" s="16"/>
      <c r="U304" s="16"/>
      <c r="V304" s="16"/>
      <c r="W304" s="16"/>
      <c r="X304" s="16"/>
      <c r="Y304" s="16"/>
      <c r="Z304" s="16"/>
      <c r="AA304" s="16"/>
      <c r="AB304" s="16"/>
      <c r="AC304" s="16"/>
      <c r="AD304" s="16"/>
      <c r="AE304" s="16"/>
      <c r="AF304" s="16"/>
      <c r="AG304" s="16"/>
      <c r="AH304" s="16"/>
      <c r="AI304" s="16"/>
      <c r="AJ304" s="16"/>
      <c r="AK304" s="16"/>
      <c r="AL304" s="16"/>
      <c r="AM304" s="16"/>
      <c r="AN304" s="16"/>
      <c r="AO304" s="16"/>
      <c r="AP304" s="16"/>
      <c r="AQ304" s="16"/>
      <c r="AR304" s="16"/>
      <c r="AS304" s="16"/>
    </row>
    <row r="305" spans="6:45" x14ac:dyDescent="0.3">
      <c r="F305" s="25"/>
      <c r="G305" s="25"/>
      <c r="H305" s="25"/>
      <c r="I305" s="25"/>
      <c r="J305" s="25"/>
      <c r="K305" s="25"/>
      <c r="Q305" s="16"/>
      <c r="R305" s="16"/>
      <c r="S305" s="16"/>
      <c r="T305" s="16"/>
      <c r="U305" s="16"/>
      <c r="V305" s="16"/>
      <c r="W305" s="16"/>
      <c r="X305" s="16"/>
      <c r="Y305" s="16"/>
      <c r="Z305" s="16"/>
      <c r="AA305" s="16"/>
      <c r="AB305" s="16"/>
      <c r="AC305" s="16"/>
      <c r="AD305" s="16"/>
      <c r="AE305" s="16"/>
      <c r="AF305" s="16"/>
      <c r="AG305" s="16"/>
      <c r="AH305" s="16"/>
      <c r="AI305" s="16"/>
      <c r="AJ305" s="16"/>
      <c r="AK305" s="16"/>
      <c r="AL305" s="16"/>
      <c r="AM305" s="16"/>
      <c r="AN305" s="16"/>
      <c r="AO305" s="16"/>
      <c r="AP305" s="16"/>
      <c r="AQ305" s="16"/>
      <c r="AR305" s="16"/>
      <c r="AS305" s="16"/>
    </row>
    <row r="306" spans="6:45" x14ac:dyDescent="0.3">
      <c r="F306" s="25"/>
      <c r="G306" s="25"/>
      <c r="H306" s="25"/>
      <c r="I306" s="25"/>
      <c r="J306" s="25"/>
      <c r="K306" s="25"/>
      <c r="Q306" s="16"/>
      <c r="R306" s="16"/>
      <c r="S306" s="16"/>
      <c r="T306" s="16"/>
      <c r="U306" s="16"/>
      <c r="V306" s="16"/>
      <c r="W306" s="16"/>
      <c r="X306" s="16"/>
      <c r="Y306" s="16"/>
      <c r="Z306" s="16"/>
      <c r="AA306" s="16"/>
      <c r="AB306" s="16"/>
      <c r="AC306" s="16"/>
      <c r="AD306" s="16"/>
      <c r="AE306" s="16"/>
      <c r="AF306" s="16"/>
      <c r="AG306" s="16"/>
      <c r="AH306" s="16"/>
      <c r="AI306" s="16"/>
      <c r="AJ306" s="16"/>
      <c r="AK306" s="16"/>
      <c r="AL306" s="16"/>
      <c r="AM306" s="16"/>
      <c r="AN306" s="16"/>
      <c r="AO306" s="16"/>
      <c r="AP306" s="16"/>
      <c r="AQ306" s="16"/>
      <c r="AR306" s="16"/>
      <c r="AS306" s="16"/>
    </row>
    <row r="307" spans="6:45" x14ac:dyDescent="0.3">
      <c r="F307" s="25"/>
      <c r="G307" s="25"/>
      <c r="H307" s="25"/>
      <c r="I307" s="25"/>
      <c r="J307" s="25"/>
      <c r="K307" s="25"/>
      <c r="Q307" s="16"/>
      <c r="R307" s="16"/>
      <c r="S307" s="16"/>
      <c r="T307" s="16"/>
      <c r="U307" s="16"/>
      <c r="V307" s="16"/>
      <c r="W307" s="16"/>
      <c r="X307" s="16"/>
      <c r="Y307" s="16"/>
      <c r="Z307" s="16"/>
      <c r="AA307" s="16"/>
      <c r="AB307" s="16"/>
      <c r="AC307" s="16"/>
      <c r="AD307" s="16"/>
      <c r="AE307" s="16"/>
      <c r="AF307" s="16"/>
      <c r="AG307" s="16"/>
      <c r="AH307" s="16"/>
      <c r="AI307" s="16"/>
      <c r="AJ307" s="16"/>
      <c r="AK307" s="16"/>
      <c r="AL307" s="16"/>
      <c r="AM307" s="16"/>
      <c r="AN307" s="16"/>
      <c r="AO307" s="16"/>
      <c r="AP307" s="16"/>
      <c r="AQ307" s="16"/>
      <c r="AR307" s="16"/>
      <c r="AS307" s="16"/>
    </row>
    <row r="308" spans="6:45" x14ac:dyDescent="0.3">
      <c r="F308" s="25"/>
      <c r="G308" s="25"/>
      <c r="H308" s="25"/>
      <c r="I308" s="25"/>
      <c r="J308" s="25"/>
      <c r="K308" s="25"/>
      <c r="Q308" s="16"/>
      <c r="R308" s="16"/>
      <c r="S308" s="16"/>
      <c r="T308" s="16"/>
      <c r="U308" s="16"/>
      <c r="V308" s="16"/>
      <c r="W308" s="16"/>
      <c r="X308" s="16"/>
      <c r="Y308" s="16"/>
      <c r="Z308" s="16"/>
      <c r="AA308" s="16"/>
      <c r="AB308" s="16"/>
      <c r="AC308" s="16"/>
      <c r="AD308" s="16"/>
      <c r="AE308" s="16"/>
      <c r="AF308" s="16"/>
      <c r="AG308" s="16"/>
      <c r="AH308" s="16"/>
      <c r="AI308" s="16"/>
      <c r="AJ308" s="16"/>
      <c r="AK308" s="16"/>
      <c r="AL308" s="16"/>
      <c r="AM308" s="16"/>
      <c r="AN308" s="16"/>
      <c r="AO308" s="16"/>
      <c r="AP308" s="16"/>
      <c r="AQ308" s="16"/>
      <c r="AR308" s="16"/>
      <c r="AS308" s="16"/>
    </row>
    <row r="309" spans="6:45" x14ac:dyDescent="0.3">
      <c r="F309" s="25"/>
      <c r="G309" s="25"/>
      <c r="H309" s="25"/>
      <c r="I309" s="25"/>
      <c r="J309" s="25"/>
      <c r="K309" s="25"/>
      <c r="Q309" s="16"/>
      <c r="R309" s="16"/>
      <c r="S309" s="16"/>
      <c r="T309" s="16"/>
      <c r="U309" s="16"/>
      <c r="V309" s="16"/>
      <c r="W309" s="16"/>
      <c r="X309" s="16"/>
      <c r="Y309" s="16"/>
      <c r="Z309" s="16"/>
      <c r="AA309" s="16"/>
      <c r="AB309" s="16"/>
      <c r="AC309" s="16"/>
      <c r="AD309" s="16"/>
      <c r="AE309" s="16"/>
      <c r="AF309" s="16"/>
      <c r="AG309" s="16"/>
      <c r="AH309" s="16"/>
      <c r="AI309" s="16"/>
      <c r="AJ309" s="16"/>
      <c r="AK309" s="16"/>
      <c r="AL309" s="16"/>
      <c r="AM309" s="16"/>
      <c r="AN309" s="16"/>
      <c r="AO309" s="16"/>
      <c r="AP309" s="16"/>
      <c r="AQ309" s="16"/>
      <c r="AR309" s="16"/>
      <c r="AS309" s="16"/>
    </row>
    <row r="310" spans="6:45" x14ac:dyDescent="0.3">
      <c r="F310" s="25"/>
      <c r="G310" s="25"/>
      <c r="H310" s="25"/>
      <c r="I310" s="25"/>
      <c r="J310" s="25"/>
      <c r="K310" s="25"/>
      <c r="Q310" s="16"/>
      <c r="R310" s="16"/>
      <c r="S310" s="16"/>
      <c r="T310" s="16"/>
      <c r="U310" s="16"/>
      <c r="V310" s="16"/>
      <c r="W310" s="16"/>
      <c r="X310" s="16"/>
      <c r="Y310" s="16"/>
      <c r="Z310" s="16"/>
      <c r="AA310" s="16"/>
      <c r="AB310" s="16"/>
      <c r="AC310" s="16"/>
      <c r="AD310" s="16"/>
      <c r="AE310" s="16"/>
      <c r="AF310" s="16"/>
      <c r="AG310" s="16"/>
      <c r="AH310" s="16"/>
      <c r="AI310" s="16"/>
      <c r="AJ310" s="16"/>
      <c r="AK310" s="16"/>
      <c r="AL310" s="16"/>
      <c r="AM310" s="16"/>
      <c r="AN310" s="16"/>
      <c r="AO310" s="16"/>
      <c r="AP310" s="16"/>
      <c r="AQ310" s="16"/>
      <c r="AR310" s="16"/>
      <c r="AS310" s="16"/>
    </row>
    <row r="311" spans="6:45" x14ac:dyDescent="0.3">
      <c r="F311" s="25"/>
      <c r="G311" s="25"/>
      <c r="H311" s="25"/>
      <c r="I311" s="25"/>
      <c r="J311" s="25"/>
      <c r="K311" s="25"/>
      <c r="Q311" s="16"/>
      <c r="R311" s="16"/>
      <c r="S311" s="16"/>
      <c r="T311" s="16"/>
      <c r="U311" s="16"/>
      <c r="V311" s="16"/>
      <c r="W311" s="16"/>
      <c r="X311" s="16"/>
      <c r="Y311" s="16"/>
      <c r="Z311" s="16"/>
      <c r="AA311" s="16"/>
      <c r="AB311" s="16"/>
      <c r="AC311" s="16"/>
      <c r="AD311" s="16"/>
      <c r="AE311" s="16"/>
      <c r="AF311" s="16"/>
      <c r="AG311" s="16"/>
      <c r="AH311" s="16"/>
      <c r="AI311" s="16"/>
      <c r="AJ311" s="16"/>
      <c r="AK311" s="16"/>
      <c r="AL311" s="16"/>
      <c r="AM311" s="16"/>
      <c r="AN311" s="16"/>
      <c r="AO311" s="16"/>
      <c r="AP311" s="16"/>
      <c r="AQ311" s="16"/>
      <c r="AR311" s="16"/>
      <c r="AS311" s="16"/>
    </row>
    <row r="312" spans="6:45" x14ac:dyDescent="0.3">
      <c r="F312" s="25"/>
      <c r="G312" s="25"/>
      <c r="H312" s="25"/>
      <c r="I312" s="25"/>
      <c r="J312" s="25"/>
      <c r="K312" s="25"/>
      <c r="Q312" s="16"/>
      <c r="R312" s="16"/>
      <c r="S312" s="16"/>
      <c r="T312" s="16"/>
      <c r="U312" s="16"/>
      <c r="V312" s="16"/>
      <c r="W312" s="16"/>
      <c r="X312" s="16"/>
      <c r="Y312" s="16"/>
      <c r="Z312" s="16"/>
      <c r="AA312" s="16"/>
      <c r="AB312" s="16"/>
      <c r="AC312" s="16"/>
      <c r="AD312" s="16"/>
      <c r="AE312" s="16"/>
      <c r="AF312" s="16"/>
      <c r="AG312" s="16"/>
      <c r="AH312" s="16"/>
      <c r="AI312" s="16"/>
      <c r="AJ312" s="16"/>
      <c r="AK312" s="16"/>
      <c r="AL312" s="16"/>
      <c r="AM312" s="16"/>
      <c r="AN312" s="16"/>
      <c r="AO312" s="16"/>
      <c r="AP312" s="16"/>
      <c r="AQ312" s="16"/>
      <c r="AR312" s="16"/>
      <c r="AS312" s="16"/>
    </row>
    <row r="313" spans="6:45" x14ac:dyDescent="0.3">
      <c r="F313" s="25"/>
      <c r="G313" s="25"/>
      <c r="H313" s="25"/>
      <c r="I313" s="25"/>
      <c r="J313" s="25"/>
      <c r="K313" s="25"/>
      <c r="Q313" s="16"/>
      <c r="R313" s="16"/>
      <c r="S313" s="16"/>
      <c r="T313" s="16"/>
      <c r="U313" s="16"/>
      <c r="V313" s="16"/>
      <c r="W313" s="16"/>
      <c r="X313" s="16"/>
      <c r="Y313" s="16"/>
      <c r="Z313" s="16"/>
      <c r="AA313" s="16"/>
      <c r="AB313" s="16"/>
      <c r="AC313" s="16"/>
      <c r="AD313" s="16"/>
      <c r="AE313" s="16"/>
      <c r="AF313" s="16"/>
      <c r="AG313" s="16"/>
      <c r="AH313" s="16"/>
      <c r="AI313" s="16"/>
      <c r="AJ313" s="16"/>
      <c r="AK313" s="16"/>
      <c r="AL313" s="16"/>
      <c r="AM313" s="16"/>
      <c r="AN313" s="16"/>
      <c r="AO313" s="16"/>
      <c r="AP313" s="16"/>
      <c r="AQ313" s="16"/>
      <c r="AR313" s="16"/>
      <c r="AS313" s="16"/>
    </row>
    <row r="314" spans="6:45" x14ac:dyDescent="0.3">
      <c r="F314" s="25"/>
      <c r="G314" s="25"/>
      <c r="H314" s="25"/>
      <c r="I314" s="25"/>
      <c r="J314" s="25"/>
      <c r="K314" s="25"/>
      <c r="Q314" s="16"/>
      <c r="R314" s="16"/>
      <c r="S314" s="16"/>
      <c r="T314" s="16"/>
      <c r="U314" s="16"/>
      <c r="V314" s="16"/>
      <c r="W314" s="16"/>
      <c r="X314" s="16"/>
      <c r="Y314" s="16"/>
      <c r="Z314" s="16"/>
      <c r="AA314" s="16"/>
      <c r="AB314" s="16"/>
      <c r="AC314" s="16"/>
      <c r="AD314" s="16"/>
      <c r="AE314" s="16"/>
      <c r="AF314" s="16"/>
      <c r="AG314" s="16"/>
      <c r="AH314" s="16"/>
      <c r="AI314" s="16"/>
      <c r="AJ314" s="16"/>
      <c r="AK314" s="16"/>
      <c r="AL314" s="16"/>
      <c r="AM314" s="16"/>
      <c r="AN314" s="16"/>
      <c r="AO314" s="16"/>
      <c r="AP314" s="16"/>
      <c r="AQ314" s="16"/>
      <c r="AR314" s="16"/>
      <c r="AS314" s="16"/>
    </row>
    <row r="315" spans="6:45" x14ac:dyDescent="0.3">
      <c r="F315" s="25"/>
      <c r="G315" s="25"/>
      <c r="H315" s="25"/>
      <c r="I315" s="25"/>
      <c r="J315" s="25"/>
      <c r="K315" s="25"/>
      <c r="Q315" s="16"/>
      <c r="R315" s="16"/>
      <c r="S315" s="16"/>
      <c r="T315" s="16"/>
      <c r="U315" s="16"/>
      <c r="V315" s="16"/>
      <c r="W315" s="16"/>
      <c r="X315" s="16"/>
      <c r="Y315" s="16"/>
      <c r="Z315" s="16"/>
      <c r="AA315" s="16"/>
      <c r="AB315" s="16"/>
      <c r="AC315" s="16"/>
      <c r="AD315" s="16"/>
      <c r="AE315" s="16"/>
      <c r="AF315" s="16"/>
      <c r="AG315" s="16"/>
      <c r="AH315" s="16"/>
      <c r="AI315" s="16"/>
      <c r="AJ315" s="16"/>
      <c r="AK315" s="16"/>
      <c r="AL315" s="16"/>
      <c r="AM315" s="16"/>
      <c r="AN315" s="16"/>
      <c r="AO315" s="16"/>
      <c r="AP315" s="16"/>
      <c r="AQ315" s="16"/>
      <c r="AR315" s="16"/>
      <c r="AS315" s="16"/>
    </row>
    <row r="316" spans="6:45" x14ac:dyDescent="0.3">
      <c r="F316" s="25"/>
      <c r="G316" s="25"/>
      <c r="H316" s="25"/>
      <c r="I316" s="25"/>
      <c r="J316" s="25"/>
      <c r="K316" s="25"/>
      <c r="Q316" s="16"/>
      <c r="R316" s="16"/>
      <c r="S316" s="16"/>
      <c r="T316" s="16"/>
      <c r="U316" s="16"/>
      <c r="V316" s="16"/>
      <c r="W316" s="16"/>
      <c r="X316" s="16"/>
      <c r="Y316" s="16"/>
      <c r="Z316" s="16"/>
      <c r="AA316" s="16"/>
      <c r="AB316" s="16"/>
      <c r="AC316" s="16"/>
      <c r="AD316" s="16"/>
      <c r="AE316" s="16"/>
      <c r="AF316" s="16"/>
      <c r="AG316" s="16"/>
      <c r="AH316" s="16"/>
      <c r="AI316" s="16"/>
      <c r="AJ316" s="16"/>
      <c r="AK316" s="16"/>
      <c r="AL316" s="16"/>
      <c r="AM316" s="16"/>
      <c r="AN316" s="16"/>
      <c r="AO316" s="16"/>
      <c r="AP316" s="16"/>
      <c r="AQ316" s="16"/>
      <c r="AR316" s="16"/>
      <c r="AS316" s="16"/>
    </row>
    <row r="317" spans="6:45" x14ac:dyDescent="0.3">
      <c r="F317" s="25"/>
      <c r="G317" s="25"/>
      <c r="H317" s="25"/>
      <c r="I317" s="25"/>
      <c r="J317" s="25"/>
      <c r="K317" s="25"/>
      <c r="Q317" s="16"/>
      <c r="R317" s="16"/>
      <c r="S317" s="16"/>
      <c r="T317" s="16"/>
      <c r="U317" s="16"/>
      <c r="V317" s="16"/>
      <c r="W317" s="16"/>
      <c r="X317" s="16"/>
      <c r="Y317" s="16"/>
      <c r="Z317" s="16"/>
      <c r="AA317" s="16"/>
      <c r="AB317" s="16"/>
      <c r="AC317" s="16"/>
      <c r="AD317" s="16"/>
      <c r="AE317" s="16"/>
      <c r="AF317" s="16"/>
      <c r="AG317" s="16"/>
      <c r="AH317" s="16"/>
      <c r="AI317" s="16"/>
      <c r="AJ317" s="16"/>
      <c r="AK317" s="16"/>
      <c r="AL317" s="16"/>
      <c r="AM317" s="16"/>
      <c r="AN317" s="16"/>
      <c r="AO317" s="16"/>
      <c r="AP317" s="16"/>
      <c r="AQ317" s="16"/>
      <c r="AR317" s="16"/>
      <c r="AS317" s="16"/>
    </row>
    <row r="318" spans="6:45" x14ac:dyDescent="0.3">
      <c r="F318" s="25"/>
      <c r="G318" s="25"/>
      <c r="H318" s="25"/>
      <c r="I318" s="25"/>
      <c r="J318" s="25"/>
      <c r="K318" s="25"/>
      <c r="Q318" s="16"/>
      <c r="R318" s="16"/>
      <c r="S318" s="16"/>
      <c r="T318" s="16"/>
      <c r="U318" s="16"/>
      <c r="V318" s="16"/>
      <c r="W318" s="16"/>
      <c r="X318" s="16"/>
      <c r="Y318" s="16"/>
      <c r="Z318" s="16"/>
      <c r="AA318" s="16"/>
      <c r="AB318" s="16"/>
      <c r="AC318" s="16"/>
      <c r="AD318" s="16"/>
      <c r="AE318" s="16"/>
      <c r="AF318" s="16"/>
      <c r="AG318" s="16"/>
      <c r="AH318" s="16"/>
      <c r="AI318" s="16"/>
      <c r="AJ318" s="16"/>
      <c r="AK318" s="16"/>
      <c r="AL318" s="16"/>
      <c r="AM318" s="16"/>
      <c r="AN318" s="16"/>
      <c r="AO318" s="16"/>
      <c r="AP318" s="16"/>
      <c r="AQ318" s="16"/>
      <c r="AR318" s="16"/>
      <c r="AS318" s="16"/>
    </row>
    <row r="319" spans="6:45" x14ac:dyDescent="0.3">
      <c r="F319" s="25"/>
      <c r="G319" s="25"/>
      <c r="H319" s="25"/>
      <c r="I319" s="25"/>
      <c r="J319" s="25"/>
      <c r="K319" s="25"/>
      <c r="Q319" s="16"/>
      <c r="R319" s="16"/>
      <c r="S319" s="16"/>
      <c r="T319" s="16"/>
      <c r="U319" s="16"/>
      <c r="V319" s="16"/>
      <c r="W319" s="16"/>
      <c r="X319" s="16"/>
      <c r="Y319" s="16"/>
      <c r="Z319" s="16"/>
      <c r="AA319" s="16"/>
      <c r="AB319" s="16"/>
      <c r="AC319" s="16"/>
      <c r="AD319" s="16"/>
      <c r="AE319" s="16"/>
      <c r="AF319" s="16"/>
      <c r="AG319" s="16"/>
      <c r="AH319" s="16"/>
      <c r="AI319" s="16"/>
      <c r="AJ319" s="16"/>
      <c r="AK319" s="16"/>
      <c r="AL319" s="16"/>
      <c r="AM319" s="16"/>
      <c r="AN319" s="16"/>
      <c r="AO319" s="16"/>
      <c r="AP319" s="16"/>
      <c r="AQ319" s="16"/>
      <c r="AR319" s="16"/>
      <c r="AS319" s="16"/>
    </row>
    <row r="320" spans="6:45" x14ac:dyDescent="0.3">
      <c r="F320" s="25"/>
      <c r="G320" s="25"/>
      <c r="H320" s="25"/>
      <c r="I320" s="25"/>
      <c r="J320" s="25"/>
      <c r="K320" s="25"/>
      <c r="Q320" s="16"/>
      <c r="R320" s="16"/>
      <c r="S320" s="16"/>
      <c r="T320" s="16"/>
      <c r="U320" s="16"/>
      <c r="V320" s="16"/>
      <c r="W320" s="16"/>
      <c r="X320" s="16"/>
      <c r="Y320" s="16"/>
      <c r="Z320" s="16"/>
      <c r="AA320" s="16"/>
      <c r="AB320" s="16"/>
      <c r="AC320" s="16"/>
      <c r="AD320" s="16"/>
      <c r="AE320" s="16"/>
      <c r="AF320" s="16"/>
      <c r="AG320" s="16"/>
      <c r="AH320" s="16"/>
      <c r="AI320" s="16"/>
      <c r="AJ320" s="16"/>
      <c r="AK320" s="16"/>
      <c r="AL320" s="16"/>
      <c r="AM320" s="16"/>
      <c r="AN320" s="16"/>
      <c r="AO320" s="16"/>
      <c r="AP320" s="16"/>
      <c r="AQ320" s="16"/>
      <c r="AR320" s="16"/>
      <c r="AS320" s="16"/>
    </row>
    <row r="321" spans="6:45" x14ac:dyDescent="0.3">
      <c r="F321" s="25"/>
      <c r="G321" s="25"/>
      <c r="H321" s="25"/>
      <c r="I321" s="25"/>
      <c r="J321" s="25"/>
      <c r="K321" s="25"/>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6"/>
      <c r="AN321" s="16"/>
      <c r="AO321" s="16"/>
      <c r="AP321" s="16"/>
      <c r="AQ321" s="16"/>
      <c r="AR321" s="16"/>
      <c r="AS321" s="16"/>
    </row>
    <row r="322" spans="6:45" x14ac:dyDescent="0.3">
      <c r="F322" s="25"/>
      <c r="G322" s="25"/>
      <c r="H322" s="25"/>
      <c r="I322" s="25"/>
      <c r="J322" s="25"/>
      <c r="K322" s="25"/>
      <c r="Q322" s="16"/>
      <c r="R322" s="16"/>
      <c r="S322" s="16"/>
      <c r="T322" s="16"/>
      <c r="U322" s="16"/>
      <c r="V322" s="16"/>
      <c r="W322" s="16"/>
      <c r="X322" s="16"/>
      <c r="Y322" s="16"/>
      <c r="Z322" s="16"/>
      <c r="AA322" s="16"/>
      <c r="AB322" s="16"/>
      <c r="AC322" s="16"/>
      <c r="AD322" s="16"/>
      <c r="AE322" s="16"/>
      <c r="AF322" s="16"/>
      <c r="AG322" s="16"/>
      <c r="AH322" s="16"/>
      <c r="AI322" s="16"/>
      <c r="AJ322" s="16"/>
      <c r="AK322" s="16"/>
      <c r="AL322" s="16"/>
      <c r="AM322" s="16"/>
      <c r="AN322" s="16"/>
      <c r="AO322" s="16"/>
      <c r="AP322" s="16"/>
      <c r="AQ322" s="16"/>
      <c r="AR322" s="16"/>
      <c r="AS322" s="16"/>
    </row>
    <row r="323" spans="6:45" x14ac:dyDescent="0.3">
      <c r="F323" s="25"/>
      <c r="G323" s="25"/>
      <c r="H323" s="25"/>
      <c r="I323" s="25"/>
      <c r="J323" s="25"/>
      <c r="K323" s="25"/>
      <c r="Q323" s="16"/>
      <c r="R323" s="16"/>
      <c r="S323" s="16"/>
      <c r="T323" s="16"/>
      <c r="U323" s="16"/>
      <c r="V323" s="16"/>
      <c r="W323" s="16"/>
      <c r="X323" s="16"/>
      <c r="Y323" s="16"/>
      <c r="Z323" s="16"/>
      <c r="AA323" s="16"/>
      <c r="AB323" s="16"/>
      <c r="AC323" s="16"/>
      <c r="AD323" s="16"/>
      <c r="AE323" s="16"/>
      <c r="AF323" s="16"/>
      <c r="AG323" s="16"/>
      <c r="AH323" s="16"/>
      <c r="AI323" s="16"/>
      <c r="AJ323" s="16"/>
      <c r="AK323" s="16"/>
      <c r="AL323" s="16"/>
      <c r="AM323" s="16"/>
      <c r="AN323" s="16"/>
      <c r="AO323" s="16"/>
      <c r="AP323" s="16"/>
      <c r="AQ323" s="16"/>
      <c r="AR323" s="16"/>
      <c r="AS323" s="16"/>
    </row>
    <row r="324" spans="6:45" x14ac:dyDescent="0.3">
      <c r="F324" s="25"/>
      <c r="G324" s="25"/>
      <c r="H324" s="25"/>
      <c r="I324" s="25"/>
      <c r="J324" s="25"/>
      <c r="K324" s="25"/>
      <c r="Q324" s="16"/>
      <c r="R324" s="16"/>
      <c r="S324" s="16"/>
      <c r="T324" s="16"/>
      <c r="U324" s="16"/>
      <c r="V324" s="16"/>
      <c r="W324" s="16"/>
      <c r="X324" s="16"/>
      <c r="Y324" s="16"/>
      <c r="Z324" s="16"/>
      <c r="AA324" s="16"/>
      <c r="AB324" s="16"/>
      <c r="AC324" s="16"/>
      <c r="AD324" s="16"/>
      <c r="AE324" s="16"/>
      <c r="AF324" s="16"/>
      <c r="AG324" s="16"/>
      <c r="AH324" s="16"/>
      <c r="AI324" s="16"/>
      <c r="AJ324" s="16"/>
      <c r="AK324" s="16"/>
      <c r="AL324" s="16"/>
      <c r="AM324" s="16"/>
      <c r="AN324" s="16"/>
      <c r="AO324" s="16"/>
      <c r="AP324" s="16"/>
      <c r="AQ324" s="16"/>
      <c r="AR324" s="16"/>
      <c r="AS324" s="16"/>
    </row>
    <row r="325" spans="6:45" x14ac:dyDescent="0.3">
      <c r="Q325" s="16"/>
      <c r="R325" s="16"/>
      <c r="S325" s="16"/>
      <c r="T325" s="16"/>
      <c r="U325" s="16"/>
      <c r="V325" s="16"/>
      <c r="W325" s="16"/>
      <c r="X325" s="16"/>
      <c r="Y325" s="16"/>
      <c r="Z325" s="16"/>
      <c r="AA325" s="16"/>
      <c r="AB325" s="16"/>
      <c r="AC325" s="16"/>
      <c r="AD325" s="16"/>
      <c r="AE325" s="16"/>
      <c r="AF325" s="16"/>
      <c r="AG325" s="16"/>
      <c r="AH325" s="16"/>
      <c r="AI325" s="16"/>
      <c r="AJ325" s="16"/>
      <c r="AK325" s="16"/>
      <c r="AL325" s="16"/>
      <c r="AM325" s="16"/>
      <c r="AN325" s="16"/>
      <c r="AO325" s="16"/>
      <c r="AP325" s="16"/>
      <c r="AQ325" s="16"/>
      <c r="AR325" s="16"/>
      <c r="AS325" s="16"/>
    </row>
    <row r="326" spans="6:45" x14ac:dyDescent="0.3">
      <c r="Q326" s="16"/>
      <c r="R326" s="16"/>
      <c r="S326" s="16"/>
      <c r="T326" s="16"/>
      <c r="U326" s="16"/>
      <c r="V326" s="16"/>
      <c r="W326" s="16"/>
      <c r="X326" s="16"/>
      <c r="Y326" s="16"/>
      <c r="Z326" s="16"/>
      <c r="AA326" s="16"/>
      <c r="AB326" s="16"/>
      <c r="AC326" s="16"/>
      <c r="AD326" s="16"/>
      <c r="AE326" s="16"/>
      <c r="AF326" s="16"/>
      <c r="AG326" s="16"/>
      <c r="AH326" s="16"/>
      <c r="AI326" s="16"/>
      <c r="AJ326" s="16"/>
      <c r="AK326" s="16"/>
      <c r="AL326" s="16"/>
      <c r="AM326" s="16"/>
      <c r="AN326" s="16"/>
      <c r="AO326" s="16"/>
      <c r="AP326" s="16"/>
      <c r="AQ326" s="16"/>
      <c r="AR326" s="16"/>
      <c r="AS326" s="16"/>
    </row>
    <row r="327" spans="6:45" x14ac:dyDescent="0.3">
      <c r="Q327" s="16"/>
      <c r="R327" s="16"/>
      <c r="S327" s="16"/>
      <c r="T327" s="16"/>
      <c r="U327" s="16"/>
      <c r="V327" s="16"/>
      <c r="W327" s="16"/>
      <c r="X327" s="16"/>
      <c r="Y327" s="16"/>
      <c r="Z327" s="16"/>
      <c r="AA327" s="16"/>
      <c r="AB327" s="16"/>
      <c r="AC327" s="16"/>
      <c r="AD327" s="16"/>
      <c r="AE327" s="16"/>
      <c r="AF327" s="16"/>
      <c r="AG327" s="16"/>
      <c r="AH327" s="16"/>
      <c r="AI327" s="16"/>
      <c r="AJ327" s="16"/>
      <c r="AK327" s="16"/>
      <c r="AL327" s="16"/>
      <c r="AM327" s="16"/>
      <c r="AN327" s="16"/>
      <c r="AO327" s="16"/>
      <c r="AP327" s="16"/>
      <c r="AQ327" s="16"/>
      <c r="AR327" s="16"/>
      <c r="AS327" s="16"/>
    </row>
    <row r="328" spans="6:45" x14ac:dyDescent="0.3">
      <c r="Q328" s="16"/>
      <c r="R328" s="16"/>
      <c r="S328" s="16"/>
      <c r="T328" s="16"/>
      <c r="U328" s="16"/>
      <c r="V328" s="16"/>
      <c r="W328" s="16"/>
      <c r="X328" s="16"/>
      <c r="Y328" s="16"/>
      <c r="Z328" s="16"/>
      <c r="AA328" s="16"/>
      <c r="AB328" s="16"/>
      <c r="AC328" s="16"/>
      <c r="AD328" s="16"/>
      <c r="AE328" s="16"/>
      <c r="AF328" s="16"/>
      <c r="AG328" s="16"/>
      <c r="AH328" s="16"/>
      <c r="AI328" s="16"/>
      <c r="AJ328" s="16"/>
      <c r="AK328" s="16"/>
      <c r="AL328" s="16"/>
      <c r="AM328" s="16"/>
      <c r="AN328" s="16"/>
      <c r="AO328" s="16"/>
      <c r="AP328" s="16"/>
      <c r="AQ328" s="16"/>
      <c r="AR328" s="16"/>
      <c r="AS328" s="16"/>
    </row>
    <row r="329" spans="6:45" x14ac:dyDescent="0.3">
      <c r="Q329" s="16"/>
      <c r="R329" s="16"/>
      <c r="S329" s="16"/>
      <c r="T329" s="16"/>
      <c r="U329" s="16"/>
      <c r="V329" s="16"/>
      <c r="W329" s="16"/>
      <c r="X329" s="16"/>
      <c r="Y329" s="16"/>
      <c r="Z329" s="16"/>
      <c r="AA329" s="16"/>
      <c r="AB329" s="16"/>
      <c r="AC329" s="16"/>
      <c r="AD329" s="16"/>
      <c r="AE329" s="16"/>
      <c r="AF329" s="16"/>
      <c r="AG329" s="16"/>
      <c r="AH329" s="16"/>
      <c r="AI329" s="16"/>
      <c r="AJ329" s="16"/>
      <c r="AK329" s="16"/>
      <c r="AL329" s="16"/>
      <c r="AM329" s="16"/>
      <c r="AN329" s="16"/>
      <c r="AO329" s="16"/>
      <c r="AP329" s="16"/>
      <c r="AQ329" s="16"/>
      <c r="AR329" s="16"/>
      <c r="AS329" s="16"/>
    </row>
    <row r="330" spans="6:45" x14ac:dyDescent="0.3">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c r="AO330" s="16"/>
      <c r="AP330" s="16"/>
      <c r="AQ330" s="16"/>
      <c r="AR330" s="16"/>
      <c r="AS330" s="16"/>
    </row>
    <row r="331" spans="6:45" x14ac:dyDescent="0.3">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c r="AO331" s="16"/>
      <c r="AP331" s="16"/>
      <c r="AQ331" s="16"/>
      <c r="AR331" s="16"/>
      <c r="AS331" s="16"/>
    </row>
    <row r="332" spans="6:45" x14ac:dyDescent="0.3">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c r="AO332" s="16"/>
      <c r="AP332" s="16"/>
      <c r="AQ332" s="16"/>
      <c r="AR332" s="16"/>
      <c r="AS332" s="16"/>
    </row>
    <row r="333" spans="6:45" x14ac:dyDescent="0.3">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c r="AO333" s="16"/>
      <c r="AP333" s="16"/>
      <c r="AQ333" s="16"/>
      <c r="AR333" s="16"/>
      <c r="AS333" s="16"/>
    </row>
    <row r="334" spans="6:45" x14ac:dyDescent="0.3">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c r="AQ334" s="16"/>
      <c r="AR334" s="16"/>
      <c r="AS334" s="16"/>
    </row>
  </sheetData>
  <mergeCells count="3">
    <mergeCell ref="F6:K6"/>
    <mergeCell ref="M6:R6"/>
    <mergeCell ref="C8:D8"/>
  </mergeCells>
  <dataValidations disablePrompts="1" count="1">
    <dataValidation type="list" allowBlank="1" showInputMessage="1" showErrorMessage="1" sqref="D6" xr:uid="{00000000-0002-0000-0100-000000000000}">
      <formula1>Month</formula1>
    </dataValidation>
  </dataValidations>
  <pageMargins left="0.7" right="0.7" top="0.75" bottom="0.75" header="0.3" footer="0.3"/>
  <pageSetup paperSize="8" orientation="portrait" r:id="rId1"/>
  <headerFooter>
    <oddHeader>&amp;L&amp;"System Font,Regular"&amp;10&amp;K000000&amp;F&amp;R&amp;N</oddHeader>
    <oddFooter>&amp;C&amp;"Arial (Body)</oddFooter>
  </headerFooter>
  <ignoredErrors>
    <ignoredError sqref="N117 N119" 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337"/>
  <sheetViews>
    <sheetView showGridLines="0" zoomScaleNormal="100" zoomScaleSheetLayoutView="143" zoomScalePageLayoutView="123" workbookViewId="0">
      <pane xSplit="2" ySplit="8" topLeftCell="C114" activePane="bottomRight" state="frozen"/>
      <selection activeCell="B107" sqref="B107"/>
      <selection pane="topRight" activeCell="B107" sqref="B107"/>
      <selection pane="bottomLeft" activeCell="B107" sqref="B107"/>
      <selection pane="bottomRight" activeCell="L127" sqref="L127"/>
    </sheetView>
  </sheetViews>
  <sheetFormatPr defaultColWidth="11.3984375" defaultRowHeight="15.5" x14ac:dyDescent="0.3"/>
  <cols>
    <col min="1" max="1" width="8.69921875" style="16" customWidth="1"/>
    <col min="2" max="5" width="11.69921875" style="17" customWidth="1"/>
    <col min="6" max="6" width="8.59765625" style="17" customWidth="1"/>
    <col min="7" max="9" width="11.69921875" style="17" customWidth="1"/>
    <col min="10" max="16384" width="11.3984375" style="17"/>
  </cols>
  <sheetData>
    <row r="1" spans="1:36" s="4" customFormat="1" ht="27" customHeight="1" x14ac:dyDescent="0.35"/>
    <row r="2" spans="1:36" s="6" customFormat="1" ht="21" customHeight="1" x14ac:dyDescent="0.4">
      <c r="A2" s="26" t="s">
        <v>49</v>
      </c>
      <c r="B2" s="26"/>
      <c r="C2" s="26"/>
      <c r="D2" s="26"/>
      <c r="E2" s="26"/>
      <c r="F2" s="26"/>
      <c r="G2" s="26"/>
      <c r="H2" s="26"/>
      <c r="I2" s="26"/>
      <c r="J2" s="5"/>
      <c r="K2" s="5"/>
      <c r="L2" s="5"/>
      <c r="M2" s="5"/>
      <c r="N2" s="5"/>
      <c r="O2" s="5"/>
      <c r="P2" s="5"/>
      <c r="Q2" s="5"/>
      <c r="R2" s="5"/>
      <c r="S2" s="5"/>
      <c r="T2" s="5"/>
      <c r="U2" s="5"/>
      <c r="V2" s="5"/>
      <c r="W2" s="5"/>
      <c r="X2" s="5"/>
      <c r="Y2" s="5"/>
      <c r="Z2" s="5"/>
      <c r="AA2" s="5"/>
      <c r="AB2" s="5"/>
      <c r="AC2" s="5"/>
      <c r="AD2" s="5"/>
      <c r="AE2" s="5"/>
      <c r="AF2" s="5"/>
      <c r="AG2" s="5"/>
      <c r="AH2" s="5"/>
      <c r="AI2" s="5"/>
      <c r="AJ2" s="5"/>
    </row>
    <row r="3" spans="1:36" s="10" customFormat="1" ht="12.75" customHeight="1" x14ac:dyDescent="0.3">
      <c r="A3" s="7" t="s">
        <v>22</v>
      </c>
      <c r="B3" s="7"/>
      <c r="C3" s="7"/>
      <c r="D3" s="7"/>
      <c r="E3" s="7"/>
      <c r="F3" s="7"/>
      <c r="G3" s="8"/>
      <c r="H3" s="9"/>
      <c r="I3" s="9"/>
      <c r="J3" s="9"/>
      <c r="K3" s="8"/>
      <c r="L3" s="8"/>
      <c r="M3" s="8"/>
      <c r="N3" s="8"/>
      <c r="O3" s="8"/>
      <c r="P3" s="8"/>
      <c r="Q3" s="8"/>
      <c r="R3" s="8"/>
      <c r="S3" s="8"/>
      <c r="T3" s="8"/>
      <c r="U3" s="8"/>
      <c r="V3" s="8"/>
      <c r="W3" s="8"/>
      <c r="X3" s="8"/>
      <c r="Y3" s="8"/>
      <c r="Z3" s="8"/>
      <c r="AA3" s="8"/>
      <c r="AB3" s="8"/>
      <c r="AC3" s="8"/>
      <c r="AD3" s="8"/>
      <c r="AE3" s="8"/>
      <c r="AF3" s="8"/>
      <c r="AG3" s="8"/>
      <c r="AH3" s="8"/>
      <c r="AI3" s="8"/>
      <c r="AJ3" s="8"/>
    </row>
    <row r="4" spans="1:36" s="13" customFormat="1" ht="15" customHeight="1" x14ac:dyDescent="0.35">
      <c r="A4" s="11" t="s">
        <v>50</v>
      </c>
      <c r="B4" s="11"/>
      <c r="C4" s="11"/>
      <c r="D4" s="11"/>
      <c r="E4" s="11"/>
      <c r="F4" s="11"/>
      <c r="G4" s="12"/>
      <c r="H4" s="9"/>
      <c r="I4" s="9"/>
      <c r="J4" s="9"/>
      <c r="K4" s="12"/>
      <c r="L4" s="12"/>
      <c r="M4" s="12"/>
      <c r="N4" s="12"/>
      <c r="O4" s="12"/>
      <c r="P4" s="12"/>
      <c r="Q4" s="12"/>
      <c r="R4" s="12"/>
      <c r="S4" s="12"/>
      <c r="T4" s="12"/>
      <c r="U4" s="12"/>
      <c r="V4" s="12"/>
      <c r="W4" s="12"/>
      <c r="X4" s="12"/>
      <c r="Y4" s="12"/>
      <c r="Z4" s="12"/>
      <c r="AA4" s="12"/>
      <c r="AB4" s="12"/>
      <c r="AC4" s="12"/>
      <c r="AD4" s="12"/>
      <c r="AE4" s="12"/>
      <c r="AF4" s="12"/>
      <c r="AG4" s="12"/>
      <c r="AH4" s="12"/>
      <c r="AI4" s="12"/>
      <c r="AJ4" s="12"/>
    </row>
    <row r="5" spans="1:36" s="15" customFormat="1" ht="13.5" customHeight="1" x14ac:dyDescent="0.35">
      <c r="A5" s="7" t="s">
        <v>62</v>
      </c>
      <c r="B5" s="7"/>
      <c r="C5" s="7"/>
      <c r="D5" s="7"/>
      <c r="E5" s="7"/>
      <c r="F5" s="7"/>
      <c r="G5" s="14"/>
      <c r="H5" s="9"/>
      <c r="I5" s="9"/>
      <c r="J5" s="9"/>
      <c r="K5" s="14"/>
      <c r="L5" s="14"/>
      <c r="M5" s="14"/>
      <c r="N5" s="14"/>
      <c r="O5" s="14"/>
      <c r="P5" s="14"/>
      <c r="Q5" s="14"/>
      <c r="R5" s="14"/>
      <c r="S5" s="14"/>
      <c r="T5" s="14"/>
      <c r="U5" s="14"/>
      <c r="V5" s="14"/>
      <c r="W5" s="14"/>
      <c r="X5" s="14"/>
      <c r="Y5" s="14"/>
      <c r="Z5" s="14"/>
      <c r="AA5" s="14"/>
      <c r="AB5" s="14"/>
      <c r="AC5" s="14"/>
      <c r="AD5" s="14"/>
      <c r="AE5" s="14"/>
      <c r="AF5" s="14"/>
      <c r="AG5" s="14"/>
      <c r="AH5" s="14"/>
      <c r="AI5" s="14"/>
      <c r="AJ5" s="14"/>
    </row>
    <row r="6" spans="1:36" x14ac:dyDescent="0.3">
      <c r="A6" s="16" t="s">
        <v>35</v>
      </c>
      <c r="B6" s="16"/>
      <c r="C6" s="96" t="s">
        <v>51</v>
      </c>
      <c r="D6" s="97"/>
      <c r="E6" s="97"/>
      <c r="F6" s="16"/>
      <c r="G6" s="98" t="s">
        <v>52</v>
      </c>
      <c r="H6" s="99"/>
      <c r="I6" s="99"/>
      <c r="J6" s="9"/>
      <c r="K6" s="16"/>
      <c r="L6" s="16"/>
      <c r="M6" s="16"/>
      <c r="N6" s="16"/>
      <c r="O6" s="16"/>
      <c r="P6" s="16"/>
      <c r="Q6" s="16"/>
      <c r="R6" s="16"/>
      <c r="S6" s="16"/>
      <c r="T6" s="16"/>
      <c r="U6" s="16"/>
      <c r="V6" s="16"/>
      <c r="W6" s="16"/>
      <c r="X6" s="16"/>
      <c r="Y6" s="16"/>
      <c r="Z6" s="16"/>
      <c r="AA6" s="16"/>
      <c r="AB6" s="16"/>
      <c r="AC6" s="16"/>
      <c r="AD6" s="16"/>
      <c r="AE6" s="16"/>
      <c r="AF6" s="16"/>
      <c r="AG6" s="16"/>
      <c r="AH6" s="16"/>
      <c r="AI6" s="16"/>
      <c r="AJ6" s="16"/>
    </row>
    <row r="7" spans="1:36" ht="46.5" x14ac:dyDescent="0.3">
      <c r="B7" s="18"/>
      <c r="C7" s="19" t="s">
        <v>2</v>
      </c>
      <c r="D7" s="19" t="s">
        <v>3</v>
      </c>
      <c r="E7" s="19" t="s">
        <v>5</v>
      </c>
      <c r="G7" s="20" t="s">
        <v>7</v>
      </c>
      <c r="H7" s="20" t="s">
        <v>9</v>
      </c>
      <c r="I7" s="20" t="s">
        <v>8</v>
      </c>
      <c r="J7" s="16"/>
      <c r="K7" s="16"/>
      <c r="L7" s="16"/>
      <c r="M7" s="16"/>
      <c r="N7" s="16"/>
      <c r="O7" s="16"/>
      <c r="P7" s="16"/>
      <c r="Q7" s="16"/>
      <c r="R7" s="16"/>
      <c r="S7" s="16"/>
      <c r="T7" s="16"/>
      <c r="U7" s="16"/>
      <c r="V7" s="16"/>
      <c r="W7" s="16"/>
      <c r="X7" s="16"/>
      <c r="Y7" s="16"/>
      <c r="Z7" s="16"/>
      <c r="AA7" s="16"/>
      <c r="AB7" s="16"/>
      <c r="AC7" s="16"/>
      <c r="AD7" s="16"/>
      <c r="AE7" s="16"/>
      <c r="AF7" s="16"/>
      <c r="AG7" s="16"/>
      <c r="AH7" s="16"/>
      <c r="AI7" s="16"/>
    </row>
    <row r="8" spans="1:36" x14ac:dyDescent="0.3">
      <c r="B8" s="18"/>
      <c r="C8" s="21" t="s">
        <v>6</v>
      </c>
      <c r="D8" s="21" t="s">
        <v>6</v>
      </c>
      <c r="E8" s="21" t="s">
        <v>6</v>
      </c>
      <c r="F8" s="16"/>
      <c r="G8" s="21" t="s">
        <v>6</v>
      </c>
      <c r="H8" s="21" t="s">
        <v>6</v>
      </c>
      <c r="I8" s="21" t="s">
        <v>6</v>
      </c>
      <c r="J8" s="16"/>
      <c r="K8" s="16"/>
      <c r="L8" s="16"/>
      <c r="M8" s="16"/>
      <c r="N8" s="16"/>
      <c r="O8" s="16"/>
      <c r="P8" s="16"/>
      <c r="Q8" s="16"/>
      <c r="R8" s="16"/>
      <c r="S8" s="16"/>
      <c r="T8" s="16"/>
      <c r="U8" s="16"/>
      <c r="V8" s="16"/>
      <c r="W8" s="16"/>
      <c r="X8" s="16"/>
      <c r="Y8" s="16"/>
      <c r="Z8" s="16"/>
      <c r="AA8" s="16"/>
      <c r="AB8" s="16"/>
      <c r="AC8" s="16"/>
      <c r="AD8" s="16"/>
      <c r="AE8" s="16"/>
      <c r="AF8" s="16"/>
      <c r="AG8" s="16"/>
      <c r="AH8" s="16"/>
      <c r="AI8" s="16"/>
    </row>
    <row r="9" spans="1:36" x14ac:dyDescent="0.3">
      <c r="B9" s="42">
        <v>42095</v>
      </c>
      <c r="C9" s="38">
        <v>244</v>
      </c>
      <c r="D9" s="38">
        <v>365</v>
      </c>
      <c r="E9" s="38">
        <v>365</v>
      </c>
      <c r="F9" s="35"/>
      <c r="G9" s="38">
        <v>330</v>
      </c>
      <c r="H9" s="38">
        <v>341</v>
      </c>
      <c r="I9" s="38">
        <v>244</v>
      </c>
      <c r="J9" s="16"/>
      <c r="K9" s="16"/>
      <c r="L9" s="16"/>
      <c r="M9" s="16"/>
      <c r="N9" s="16"/>
      <c r="O9" s="16"/>
      <c r="P9" s="16"/>
      <c r="Q9" s="16"/>
      <c r="R9" s="16"/>
      <c r="S9" s="16"/>
      <c r="T9" s="16"/>
      <c r="U9" s="16"/>
      <c r="V9" s="16"/>
      <c r="W9" s="16"/>
      <c r="X9" s="16"/>
      <c r="Y9" s="16"/>
      <c r="Z9" s="16"/>
      <c r="AA9" s="16"/>
      <c r="AB9" s="16"/>
      <c r="AC9" s="16"/>
      <c r="AD9" s="16"/>
      <c r="AE9" s="16"/>
      <c r="AF9" s="16"/>
      <c r="AG9" s="16"/>
      <c r="AH9" s="16"/>
      <c r="AI9" s="16"/>
    </row>
    <row r="10" spans="1:36" x14ac:dyDescent="0.3">
      <c r="B10" s="41">
        <v>42125</v>
      </c>
      <c r="C10" s="36">
        <v>244</v>
      </c>
      <c r="D10" s="36">
        <v>365</v>
      </c>
      <c r="E10" s="36">
        <v>365</v>
      </c>
      <c r="F10" s="35"/>
      <c r="G10" s="36">
        <v>330</v>
      </c>
      <c r="H10" s="36">
        <v>341</v>
      </c>
      <c r="I10" s="36">
        <v>244</v>
      </c>
      <c r="J10" s="16"/>
      <c r="K10" s="16"/>
      <c r="L10" s="16"/>
      <c r="M10" s="16"/>
      <c r="N10" s="16"/>
      <c r="O10" s="16"/>
      <c r="P10" s="16"/>
      <c r="Q10" s="16"/>
      <c r="R10" s="16"/>
      <c r="S10" s="16"/>
      <c r="T10" s="16"/>
      <c r="U10" s="16"/>
      <c r="V10" s="16"/>
      <c r="W10" s="16"/>
      <c r="X10" s="16"/>
      <c r="Y10" s="16"/>
      <c r="Z10" s="16"/>
      <c r="AA10" s="16"/>
      <c r="AB10" s="16"/>
      <c r="AC10" s="16"/>
      <c r="AD10" s="16"/>
      <c r="AE10" s="16"/>
      <c r="AF10" s="16"/>
      <c r="AG10" s="16"/>
      <c r="AH10" s="16"/>
      <c r="AI10" s="16"/>
    </row>
    <row r="11" spans="1:36" x14ac:dyDescent="0.3">
      <c r="B11" s="42">
        <v>42156</v>
      </c>
      <c r="C11" s="38">
        <v>244</v>
      </c>
      <c r="D11" s="38">
        <v>365</v>
      </c>
      <c r="E11" s="38">
        <v>365</v>
      </c>
      <c r="F11" s="35"/>
      <c r="G11" s="38">
        <v>330</v>
      </c>
      <c r="H11" s="38">
        <v>341</v>
      </c>
      <c r="I11" s="38">
        <v>244</v>
      </c>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row>
    <row r="12" spans="1:36" x14ac:dyDescent="0.3">
      <c r="B12" s="41">
        <v>42186</v>
      </c>
      <c r="C12" s="36">
        <v>244</v>
      </c>
      <c r="D12" s="36">
        <v>365</v>
      </c>
      <c r="E12" s="36">
        <v>365</v>
      </c>
      <c r="F12" s="35"/>
      <c r="G12" s="36">
        <v>330</v>
      </c>
      <c r="H12" s="36">
        <v>341</v>
      </c>
      <c r="I12" s="36">
        <v>244</v>
      </c>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row>
    <row r="13" spans="1:36" x14ac:dyDescent="0.3">
      <c r="B13" s="42">
        <v>42217</v>
      </c>
      <c r="C13" s="38">
        <v>244</v>
      </c>
      <c r="D13" s="38">
        <v>365</v>
      </c>
      <c r="E13" s="38">
        <v>365</v>
      </c>
      <c r="F13" s="35"/>
      <c r="G13" s="38">
        <v>330</v>
      </c>
      <c r="H13" s="38">
        <v>341</v>
      </c>
      <c r="I13" s="38">
        <v>244</v>
      </c>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row>
    <row r="14" spans="1:36" x14ac:dyDescent="0.3">
      <c r="B14" s="41">
        <v>42248</v>
      </c>
      <c r="C14" s="36">
        <v>244</v>
      </c>
      <c r="D14" s="36">
        <v>365</v>
      </c>
      <c r="E14" s="36">
        <v>365</v>
      </c>
      <c r="F14" s="35"/>
      <c r="G14" s="36">
        <v>330</v>
      </c>
      <c r="H14" s="36">
        <v>341</v>
      </c>
      <c r="I14" s="36">
        <v>244</v>
      </c>
      <c r="J14" s="16"/>
      <c r="K14" s="16"/>
      <c r="L14" s="16"/>
      <c r="M14" s="16"/>
      <c r="N14" s="16"/>
      <c r="O14" s="16"/>
      <c r="P14" s="16"/>
      <c r="Q14" s="16"/>
      <c r="R14" s="16"/>
      <c r="S14" s="16"/>
      <c r="T14" s="16"/>
      <c r="U14" s="16"/>
      <c r="V14" s="16"/>
      <c r="W14" s="16"/>
      <c r="X14" s="16"/>
      <c r="Y14" s="16"/>
      <c r="Z14" s="16"/>
      <c r="AA14" s="16"/>
      <c r="AB14" s="16"/>
      <c r="AC14" s="16"/>
      <c r="AD14" s="16"/>
      <c r="AE14" s="16"/>
      <c r="AF14" s="16"/>
      <c r="AG14" s="16"/>
      <c r="AH14" s="16"/>
      <c r="AI14" s="16"/>
    </row>
    <row r="15" spans="1:36" x14ac:dyDescent="0.3">
      <c r="B15" s="42">
        <v>42278</v>
      </c>
      <c r="C15" s="38">
        <v>244</v>
      </c>
      <c r="D15" s="38">
        <v>365</v>
      </c>
      <c r="E15" s="38">
        <v>365</v>
      </c>
      <c r="F15" s="35"/>
      <c r="G15" s="38">
        <v>330</v>
      </c>
      <c r="H15" s="38">
        <v>341</v>
      </c>
      <c r="I15" s="38">
        <v>244</v>
      </c>
      <c r="J15" s="16"/>
      <c r="K15" s="16"/>
      <c r="L15" s="16"/>
      <c r="M15" s="16"/>
      <c r="N15" s="16"/>
      <c r="O15" s="16"/>
      <c r="P15" s="16"/>
      <c r="Q15" s="16"/>
      <c r="R15" s="16"/>
      <c r="S15" s="16"/>
      <c r="T15" s="16"/>
      <c r="U15" s="16"/>
      <c r="V15" s="16"/>
      <c r="W15" s="16"/>
      <c r="X15" s="16"/>
      <c r="Y15" s="16"/>
      <c r="Z15" s="16"/>
      <c r="AA15" s="16"/>
      <c r="AB15" s="16"/>
      <c r="AC15" s="16"/>
      <c r="AD15" s="16"/>
      <c r="AE15" s="16"/>
      <c r="AF15" s="16"/>
      <c r="AG15" s="16"/>
      <c r="AH15" s="16"/>
      <c r="AI15" s="16"/>
    </row>
    <row r="16" spans="1:36" x14ac:dyDescent="0.3">
      <c r="B16" s="41">
        <v>42309</v>
      </c>
      <c r="C16" s="36">
        <v>244</v>
      </c>
      <c r="D16" s="36">
        <v>365</v>
      </c>
      <c r="E16" s="36">
        <v>365</v>
      </c>
      <c r="F16" s="35"/>
      <c r="G16" s="36">
        <v>330</v>
      </c>
      <c r="H16" s="36">
        <v>341</v>
      </c>
      <c r="I16" s="36">
        <v>244</v>
      </c>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row>
    <row r="17" spans="2:35" x14ac:dyDescent="0.3">
      <c r="B17" s="42">
        <v>42339</v>
      </c>
      <c r="C17" s="38">
        <v>244</v>
      </c>
      <c r="D17" s="38">
        <v>365</v>
      </c>
      <c r="E17" s="38">
        <v>365</v>
      </c>
      <c r="F17" s="35"/>
      <c r="G17" s="38">
        <v>330</v>
      </c>
      <c r="H17" s="38">
        <v>341</v>
      </c>
      <c r="I17" s="38">
        <v>244</v>
      </c>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row>
    <row r="18" spans="2:35" x14ac:dyDescent="0.3">
      <c r="B18" s="41">
        <v>42370</v>
      </c>
      <c r="C18" s="36">
        <v>244</v>
      </c>
      <c r="D18" s="36">
        <v>365</v>
      </c>
      <c r="E18" s="36">
        <v>365</v>
      </c>
      <c r="F18" s="35"/>
      <c r="G18" s="36">
        <v>330</v>
      </c>
      <c r="H18" s="36">
        <v>341</v>
      </c>
      <c r="I18" s="36">
        <v>244</v>
      </c>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row>
    <row r="19" spans="2:35" x14ac:dyDescent="0.3">
      <c r="B19" s="42">
        <v>42401</v>
      </c>
      <c r="C19" s="38">
        <v>244</v>
      </c>
      <c r="D19" s="38">
        <v>365</v>
      </c>
      <c r="E19" s="38">
        <v>365</v>
      </c>
      <c r="F19" s="35"/>
      <c r="G19" s="38">
        <v>330</v>
      </c>
      <c r="H19" s="38">
        <v>341</v>
      </c>
      <c r="I19" s="38">
        <v>244</v>
      </c>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row>
    <row r="20" spans="2:35" x14ac:dyDescent="0.3">
      <c r="B20" s="41">
        <v>42430</v>
      </c>
      <c r="C20" s="36">
        <v>244</v>
      </c>
      <c r="D20" s="36">
        <v>365</v>
      </c>
      <c r="E20" s="36">
        <v>365</v>
      </c>
      <c r="F20" s="35"/>
      <c r="G20" s="36">
        <v>330</v>
      </c>
      <c r="H20" s="36">
        <v>341</v>
      </c>
      <c r="I20" s="36">
        <v>244</v>
      </c>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row>
    <row r="21" spans="2:35" x14ac:dyDescent="0.3">
      <c r="B21" s="42">
        <v>42461</v>
      </c>
      <c r="C21" s="38">
        <v>244</v>
      </c>
      <c r="D21" s="38">
        <v>365</v>
      </c>
      <c r="E21" s="38">
        <v>365</v>
      </c>
      <c r="F21" s="35"/>
      <c r="G21" s="38">
        <v>330</v>
      </c>
      <c r="H21" s="38">
        <v>341</v>
      </c>
      <c r="I21" s="38">
        <v>244</v>
      </c>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row>
    <row r="22" spans="2:35" x14ac:dyDescent="0.3">
      <c r="B22" s="41">
        <v>42491</v>
      </c>
      <c r="C22" s="36">
        <v>244</v>
      </c>
      <c r="D22" s="36">
        <v>365</v>
      </c>
      <c r="E22" s="36">
        <v>365</v>
      </c>
      <c r="F22" s="35"/>
      <c r="G22" s="36">
        <v>330</v>
      </c>
      <c r="H22" s="36">
        <v>341</v>
      </c>
      <c r="I22" s="36">
        <v>244</v>
      </c>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row>
    <row r="23" spans="2:35" x14ac:dyDescent="0.3">
      <c r="B23" s="42">
        <v>42522</v>
      </c>
      <c r="C23" s="38">
        <v>244</v>
      </c>
      <c r="D23" s="38">
        <v>365</v>
      </c>
      <c r="E23" s="38">
        <v>365</v>
      </c>
      <c r="F23" s="35"/>
      <c r="G23" s="38">
        <v>330</v>
      </c>
      <c r="H23" s="38">
        <v>341</v>
      </c>
      <c r="I23" s="38">
        <v>244</v>
      </c>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row>
    <row r="24" spans="2:35" x14ac:dyDescent="0.3">
      <c r="B24" s="41">
        <v>42552</v>
      </c>
      <c r="C24" s="36">
        <v>244</v>
      </c>
      <c r="D24" s="36">
        <v>365</v>
      </c>
      <c r="E24" s="36">
        <v>365</v>
      </c>
      <c r="F24" s="35"/>
      <c r="G24" s="36">
        <v>330</v>
      </c>
      <c r="H24" s="36">
        <v>341</v>
      </c>
      <c r="I24" s="36">
        <v>244</v>
      </c>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row>
    <row r="25" spans="2:35" x14ac:dyDescent="0.3">
      <c r="B25" s="42">
        <v>42583</v>
      </c>
      <c r="C25" s="38">
        <v>244</v>
      </c>
      <c r="D25" s="38">
        <v>365</v>
      </c>
      <c r="E25" s="38">
        <v>365</v>
      </c>
      <c r="F25" s="35"/>
      <c r="G25" s="38">
        <v>330</v>
      </c>
      <c r="H25" s="38">
        <v>341</v>
      </c>
      <c r="I25" s="38">
        <v>244</v>
      </c>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6"/>
      <c r="AI25" s="16"/>
    </row>
    <row r="26" spans="2:35" x14ac:dyDescent="0.3">
      <c r="B26" s="41">
        <v>42614</v>
      </c>
      <c r="C26" s="36">
        <v>244</v>
      </c>
      <c r="D26" s="36">
        <v>365</v>
      </c>
      <c r="E26" s="36">
        <v>365</v>
      </c>
      <c r="F26" s="35"/>
      <c r="G26" s="36">
        <v>330</v>
      </c>
      <c r="H26" s="36">
        <v>341</v>
      </c>
      <c r="I26" s="36">
        <v>244</v>
      </c>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6"/>
      <c r="AI26" s="16"/>
    </row>
    <row r="27" spans="2:35" x14ac:dyDescent="0.3">
      <c r="B27" s="42">
        <v>42644</v>
      </c>
      <c r="C27" s="38">
        <v>244</v>
      </c>
      <c r="D27" s="38">
        <v>365</v>
      </c>
      <c r="E27" s="38">
        <v>365</v>
      </c>
      <c r="F27" s="35"/>
      <c r="G27" s="38">
        <v>330</v>
      </c>
      <c r="H27" s="38">
        <v>341</v>
      </c>
      <c r="I27" s="38">
        <v>244</v>
      </c>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6"/>
      <c r="AI27" s="16"/>
    </row>
    <row r="28" spans="2:35" x14ac:dyDescent="0.3">
      <c r="B28" s="41">
        <v>42675</v>
      </c>
      <c r="C28" s="36">
        <v>244</v>
      </c>
      <c r="D28" s="36">
        <v>365</v>
      </c>
      <c r="E28" s="36">
        <v>365</v>
      </c>
      <c r="F28" s="35"/>
      <c r="G28" s="36">
        <v>330</v>
      </c>
      <c r="H28" s="36">
        <v>341</v>
      </c>
      <c r="I28" s="36">
        <v>244</v>
      </c>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6"/>
      <c r="AI28" s="16"/>
    </row>
    <row r="29" spans="2:35" x14ac:dyDescent="0.3">
      <c r="B29" s="42">
        <v>42705</v>
      </c>
      <c r="C29" s="38">
        <v>244</v>
      </c>
      <c r="D29" s="38">
        <v>365</v>
      </c>
      <c r="E29" s="38">
        <v>365</v>
      </c>
      <c r="F29" s="35"/>
      <c r="G29" s="38">
        <v>330</v>
      </c>
      <c r="H29" s="38">
        <v>341</v>
      </c>
      <c r="I29" s="38">
        <v>244</v>
      </c>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6"/>
      <c r="AI29" s="16"/>
    </row>
    <row r="30" spans="2:35" x14ac:dyDescent="0.3">
      <c r="B30" s="41">
        <v>42736</v>
      </c>
      <c r="C30" s="36">
        <v>244</v>
      </c>
      <c r="D30" s="36">
        <v>365</v>
      </c>
      <c r="E30" s="36">
        <v>365</v>
      </c>
      <c r="F30" s="35"/>
      <c r="G30" s="36">
        <v>330</v>
      </c>
      <c r="H30" s="36">
        <v>341</v>
      </c>
      <c r="I30" s="36">
        <v>244</v>
      </c>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6"/>
      <c r="AI30" s="16"/>
    </row>
    <row r="31" spans="2:35" x14ac:dyDescent="0.3">
      <c r="B31" s="42">
        <v>42767</v>
      </c>
      <c r="C31" s="38">
        <v>244</v>
      </c>
      <c r="D31" s="38">
        <v>365</v>
      </c>
      <c r="E31" s="38">
        <v>365</v>
      </c>
      <c r="F31" s="35"/>
      <c r="G31" s="38">
        <v>330</v>
      </c>
      <c r="H31" s="38">
        <v>341</v>
      </c>
      <c r="I31" s="38">
        <v>244</v>
      </c>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row>
    <row r="32" spans="2:35" x14ac:dyDescent="0.3">
      <c r="B32" s="41">
        <v>42795</v>
      </c>
      <c r="C32" s="36">
        <v>244</v>
      </c>
      <c r="D32" s="36">
        <v>365</v>
      </c>
      <c r="E32" s="36">
        <v>365</v>
      </c>
      <c r="F32" s="35"/>
      <c r="G32" s="36">
        <v>330</v>
      </c>
      <c r="H32" s="36">
        <v>341</v>
      </c>
      <c r="I32" s="36">
        <v>244</v>
      </c>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6"/>
      <c r="AI32" s="16"/>
    </row>
    <row r="33" spans="2:35" x14ac:dyDescent="0.3">
      <c r="B33" s="42">
        <v>42826</v>
      </c>
      <c r="C33" s="38">
        <v>244</v>
      </c>
      <c r="D33" s="38">
        <v>365</v>
      </c>
      <c r="E33" s="38">
        <v>365</v>
      </c>
      <c r="F33" s="35"/>
      <c r="G33" s="38">
        <v>330</v>
      </c>
      <c r="H33" s="38">
        <v>341</v>
      </c>
      <c r="I33" s="38">
        <v>244</v>
      </c>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6"/>
      <c r="AI33" s="16"/>
    </row>
    <row r="34" spans="2:35" x14ac:dyDescent="0.3">
      <c r="B34" s="41">
        <v>42856</v>
      </c>
      <c r="C34" s="36">
        <v>244</v>
      </c>
      <c r="D34" s="36">
        <v>365</v>
      </c>
      <c r="E34" s="36">
        <v>365</v>
      </c>
      <c r="F34" s="35"/>
      <c r="G34" s="36">
        <v>330</v>
      </c>
      <c r="H34" s="36">
        <v>341</v>
      </c>
      <c r="I34" s="36">
        <v>244</v>
      </c>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6"/>
      <c r="AI34" s="16"/>
    </row>
    <row r="35" spans="2:35" x14ac:dyDescent="0.3">
      <c r="B35" s="42">
        <v>42887</v>
      </c>
      <c r="C35" s="38">
        <v>244</v>
      </c>
      <c r="D35" s="38">
        <v>365</v>
      </c>
      <c r="E35" s="38">
        <v>365</v>
      </c>
      <c r="F35" s="35"/>
      <c r="G35" s="38">
        <v>330</v>
      </c>
      <c r="H35" s="38">
        <v>341</v>
      </c>
      <c r="I35" s="38">
        <v>244</v>
      </c>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6"/>
      <c r="AI35" s="16"/>
    </row>
    <row r="36" spans="2:35" x14ac:dyDescent="0.3">
      <c r="B36" s="41">
        <v>42917</v>
      </c>
      <c r="C36" s="36">
        <v>244</v>
      </c>
      <c r="D36" s="36">
        <v>365</v>
      </c>
      <c r="E36" s="36">
        <v>365</v>
      </c>
      <c r="F36" s="35"/>
      <c r="G36" s="36">
        <v>330</v>
      </c>
      <c r="H36" s="36">
        <v>341</v>
      </c>
      <c r="I36" s="36">
        <v>244</v>
      </c>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row>
    <row r="37" spans="2:35" x14ac:dyDescent="0.3">
      <c r="B37" s="42">
        <v>42948</v>
      </c>
      <c r="C37" s="38">
        <v>244</v>
      </c>
      <c r="D37" s="38">
        <v>365</v>
      </c>
      <c r="E37" s="38">
        <v>365</v>
      </c>
      <c r="F37" s="35"/>
      <c r="G37" s="38">
        <v>330</v>
      </c>
      <c r="H37" s="38">
        <v>341</v>
      </c>
      <c r="I37" s="38">
        <v>244</v>
      </c>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row>
    <row r="38" spans="2:35" x14ac:dyDescent="0.3">
      <c r="B38" s="41">
        <v>42979</v>
      </c>
      <c r="C38" s="36">
        <v>244</v>
      </c>
      <c r="D38" s="36">
        <v>365</v>
      </c>
      <c r="E38" s="36">
        <v>365</v>
      </c>
      <c r="F38" s="35"/>
      <c r="G38" s="36">
        <v>330</v>
      </c>
      <c r="H38" s="36">
        <v>341</v>
      </c>
      <c r="I38" s="36">
        <v>244</v>
      </c>
      <c r="J38" s="16"/>
      <c r="K38" s="16"/>
      <c r="L38" s="16"/>
      <c r="M38" s="16"/>
      <c r="N38" s="16"/>
      <c r="O38" s="16"/>
      <c r="P38" s="16"/>
      <c r="Q38" s="16"/>
      <c r="R38" s="16"/>
      <c r="S38" s="16"/>
      <c r="T38" s="16"/>
      <c r="U38" s="16"/>
      <c r="V38" s="16"/>
      <c r="W38" s="16"/>
      <c r="X38" s="16"/>
      <c r="Y38" s="16"/>
      <c r="Z38" s="16"/>
      <c r="AA38" s="16"/>
      <c r="AB38" s="16"/>
      <c r="AC38" s="16"/>
      <c r="AD38" s="16"/>
      <c r="AE38" s="16"/>
      <c r="AF38" s="16"/>
      <c r="AG38" s="16"/>
      <c r="AH38" s="16"/>
      <c r="AI38" s="16"/>
    </row>
    <row r="39" spans="2:35" x14ac:dyDescent="0.3">
      <c r="B39" s="42">
        <v>43009</v>
      </c>
      <c r="C39" s="38">
        <v>244</v>
      </c>
      <c r="D39" s="38">
        <v>365</v>
      </c>
      <c r="E39" s="38">
        <v>365</v>
      </c>
      <c r="F39" s="35"/>
      <c r="G39" s="38">
        <v>330</v>
      </c>
      <c r="H39" s="38">
        <v>341</v>
      </c>
      <c r="I39" s="38">
        <v>244</v>
      </c>
      <c r="J39" s="16"/>
      <c r="K39" s="16"/>
      <c r="L39" s="16"/>
      <c r="M39" s="16"/>
      <c r="N39" s="16"/>
      <c r="O39" s="16"/>
      <c r="P39" s="16"/>
      <c r="Q39" s="16"/>
      <c r="R39" s="16"/>
      <c r="S39" s="16"/>
      <c r="T39" s="16"/>
      <c r="U39" s="16"/>
      <c r="V39" s="16"/>
      <c r="W39" s="16"/>
      <c r="X39" s="16"/>
      <c r="Y39" s="16"/>
      <c r="Z39" s="16"/>
      <c r="AA39" s="16"/>
      <c r="AB39" s="16"/>
      <c r="AC39" s="16"/>
      <c r="AD39" s="16"/>
      <c r="AE39" s="16"/>
      <c r="AF39" s="16"/>
      <c r="AG39" s="16"/>
      <c r="AH39" s="16"/>
      <c r="AI39" s="16"/>
    </row>
    <row r="40" spans="2:35" x14ac:dyDescent="0.3">
      <c r="B40" s="41">
        <v>43040</v>
      </c>
      <c r="C40" s="36">
        <v>244</v>
      </c>
      <c r="D40" s="36">
        <v>365</v>
      </c>
      <c r="E40" s="36">
        <v>365</v>
      </c>
      <c r="F40" s="35"/>
      <c r="G40" s="36">
        <v>330</v>
      </c>
      <c r="H40" s="36">
        <v>341</v>
      </c>
      <c r="I40" s="36">
        <v>244</v>
      </c>
      <c r="J40" s="16"/>
      <c r="K40" s="16"/>
      <c r="L40" s="16"/>
      <c r="M40" s="16"/>
      <c r="N40" s="16"/>
      <c r="O40" s="16"/>
      <c r="P40" s="16"/>
      <c r="Q40" s="16"/>
      <c r="R40" s="16"/>
      <c r="S40" s="16"/>
      <c r="T40" s="16"/>
      <c r="U40" s="16"/>
      <c r="V40" s="16"/>
      <c r="W40" s="16"/>
      <c r="X40" s="16"/>
      <c r="Y40" s="16"/>
      <c r="Z40" s="16"/>
      <c r="AA40" s="16"/>
      <c r="AB40" s="16"/>
      <c r="AC40" s="16"/>
      <c r="AD40" s="16"/>
      <c r="AE40" s="16"/>
      <c r="AF40" s="16"/>
      <c r="AG40" s="16"/>
      <c r="AH40" s="16"/>
      <c r="AI40" s="16"/>
    </row>
    <row r="41" spans="2:35" x14ac:dyDescent="0.3">
      <c r="B41" s="42">
        <v>43070</v>
      </c>
      <c r="C41" s="38">
        <v>244</v>
      </c>
      <c r="D41" s="38">
        <v>365</v>
      </c>
      <c r="E41" s="38">
        <v>365</v>
      </c>
      <c r="F41" s="35"/>
      <c r="G41" s="38">
        <v>330</v>
      </c>
      <c r="H41" s="38">
        <v>341</v>
      </c>
      <c r="I41" s="38">
        <v>244</v>
      </c>
      <c r="J41" s="16"/>
      <c r="K41" s="16"/>
      <c r="L41" s="16"/>
      <c r="M41" s="16"/>
      <c r="N41" s="16"/>
      <c r="O41" s="16"/>
      <c r="P41" s="16"/>
      <c r="Q41" s="16"/>
      <c r="R41" s="16"/>
      <c r="S41" s="16"/>
      <c r="T41" s="16"/>
      <c r="U41" s="16"/>
      <c r="V41" s="16"/>
      <c r="W41" s="16"/>
      <c r="X41" s="16"/>
      <c r="Y41" s="16"/>
      <c r="Z41" s="16"/>
      <c r="AA41" s="16"/>
      <c r="AB41" s="16"/>
      <c r="AC41" s="16"/>
      <c r="AD41" s="16"/>
      <c r="AE41" s="16"/>
      <c r="AF41" s="16"/>
      <c r="AG41" s="16"/>
      <c r="AH41" s="16"/>
      <c r="AI41" s="16"/>
    </row>
    <row r="42" spans="2:35" x14ac:dyDescent="0.3">
      <c r="B42" s="41">
        <v>43101</v>
      </c>
      <c r="C42" s="36">
        <v>244</v>
      </c>
      <c r="D42" s="36">
        <v>365</v>
      </c>
      <c r="E42" s="36">
        <v>365</v>
      </c>
      <c r="F42" s="35"/>
      <c r="G42" s="36">
        <v>330</v>
      </c>
      <c r="H42" s="36">
        <v>341</v>
      </c>
      <c r="I42" s="36">
        <v>244</v>
      </c>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row>
    <row r="43" spans="2:35" x14ac:dyDescent="0.3">
      <c r="B43" s="42">
        <v>43132</v>
      </c>
      <c r="C43" s="38">
        <v>244</v>
      </c>
      <c r="D43" s="38">
        <v>365</v>
      </c>
      <c r="E43" s="38">
        <v>365</v>
      </c>
      <c r="F43" s="35"/>
      <c r="G43" s="38">
        <v>330</v>
      </c>
      <c r="H43" s="38">
        <v>341</v>
      </c>
      <c r="I43" s="38">
        <v>244</v>
      </c>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row>
    <row r="44" spans="2:35" x14ac:dyDescent="0.3">
      <c r="B44" s="41">
        <v>43160</v>
      </c>
      <c r="C44" s="36">
        <v>244</v>
      </c>
      <c r="D44" s="36">
        <v>365</v>
      </c>
      <c r="E44" s="36">
        <v>365</v>
      </c>
      <c r="F44" s="35"/>
      <c r="G44" s="36">
        <v>330</v>
      </c>
      <c r="H44" s="36">
        <v>341</v>
      </c>
      <c r="I44" s="36">
        <v>244</v>
      </c>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row>
    <row r="45" spans="2:35" x14ac:dyDescent="0.3">
      <c r="B45" s="42">
        <v>43191</v>
      </c>
      <c r="C45" s="38">
        <v>244</v>
      </c>
      <c r="D45" s="38">
        <v>365</v>
      </c>
      <c r="E45" s="38">
        <v>365</v>
      </c>
      <c r="F45" s="35"/>
      <c r="G45" s="38">
        <v>330</v>
      </c>
      <c r="H45" s="38">
        <v>341</v>
      </c>
      <c r="I45" s="38">
        <v>244</v>
      </c>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row>
    <row r="46" spans="2:35" x14ac:dyDescent="0.3">
      <c r="B46" s="41">
        <v>43221</v>
      </c>
      <c r="C46" s="36">
        <v>244</v>
      </c>
      <c r="D46" s="36">
        <v>365</v>
      </c>
      <c r="E46" s="36">
        <v>365</v>
      </c>
      <c r="F46" s="35"/>
      <c r="G46" s="36">
        <v>330</v>
      </c>
      <c r="H46" s="36">
        <v>341</v>
      </c>
      <c r="I46" s="36">
        <v>244</v>
      </c>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row>
    <row r="47" spans="2:35" x14ac:dyDescent="0.3">
      <c r="B47" s="42">
        <v>43252</v>
      </c>
      <c r="C47" s="38">
        <v>244</v>
      </c>
      <c r="D47" s="38">
        <v>365</v>
      </c>
      <c r="E47" s="38">
        <v>365</v>
      </c>
      <c r="F47" s="35"/>
      <c r="G47" s="38">
        <v>330</v>
      </c>
      <c r="H47" s="38">
        <v>341</v>
      </c>
      <c r="I47" s="38">
        <v>244</v>
      </c>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row>
    <row r="48" spans="2:35" x14ac:dyDescent="0.3">
      <c r="B48" s="41">
        <v>43282</v>
      </c>
      <c r="C48" s="36">
        <v>244</v>
      </c>
      <c r="D48" s="36">
        <v>365</v>
      </c>
      <c r="E48" s="36">
        <v>365</v>
      </c>
      <c r="F48" s="35"/>
      <c r="G48" s="36">
        <v>330</v>
      </c>
      <c r="H48" s="36">
        <v>341</v>
      </c>
      <c r="I48" s="36">
        <v>244</v>
      </c>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row>
    <row r="49" spans="2:36" x14ac:dyDescent="0.3">
      <c r="B49" s="42">
        <v>43313</v>
      </c>
      <c r="C49" s="38">
        <v>244</v>
      </c>
      <c r="D49" s="38">
        <v>365</v>
      </c>
      <c r="E49" s="38">
        <v>365</v>
      </c>
      <c r="F49" s="35"/>
      <c r="G49" s="38">
        <v>330</v>
      </c>
      <c r="H49" s="38">
        <v>341</v>
      </c>
      <c r="I49" s="38">
        <v>244</v>
      </c>
      <c r="J49" s="16"/>
      <c r="K49" s="16"/>
      <c r="L49" s="16"/>
      <c r="M49" s="16"/>
      <c r="N49" s="16"/>
      <c r="O49" s="16"/>
      <c r="P49" s="16"/>
      <c r="Q49" s="16"/>
      <c r="R49" s="16"/>
      <c r="S49" s="16"/>
      <c r="T49" s="16"/>
      <c r="U49" s="16"/>
      <c r="V49" s="16"/>
      <c r="W49" s="16"/>
      <c r="X49" s="16"/>
      <c r="Y49" s="16"/>
      <c r="Z49" s="16"/>
      <c r="AA49" s="16"/>
      <c r="AB49" s="16"/>
      <c r="AC49" s="16"/>
      <c r="AD49" s="16"/>
      <c r="AE49" s="16"/>
      <c r="AF49" s="16"/>
      <c r="AG49" s="16"/>
      <c r="AH49" s="16"/>
      <c r="AI49" s="16"/>
    </row>
    <row r="50" spans="2:36" x14ac:dyDescent="0.3">
      <c r="B50" s="41">
        <v>43344</v>
      </c>
      <c r="C50" s="36">
        <v>244</v>
      </c>
      <c r="D50" s="36">
        <v>365</v>
      </c>
      <c r="E50" s="36">
        <v>365</v>
      </c>
      <c r="F50" s="35"/>
      <c r="G50" s="36">
        <v>330</v>
      </c>
      <c r="H50" s="36">
        <v>341</v>
      </c>
      <c r="I50" s="36">
        <v>244</v>
      </c>
      <c r="J50" s="16"/>
      <c r="K50" s="16"/>
      <c r="L50" s="16"/>
      <c r="M50" s="16"/>
      <c r="N50" s="16"/>
      <c r="O50" s="16"/>
      <c r="P50" s="16"/>
      <c r="Q50" s="16"/>
      <c r="R50" s="16"/>
      <c r="S50" s="16"/>
      <c r="T50" s="16"/>
      <c r="U50" s="16"/>
      <c r="V50" s="16"/>
      <c r="W50" s="16"/>
      <c r="X50" s="16"/>
      <c r="Y50" s="16"/>
      <c r="Z50" s="16"/>
      <c r="AA50" s="16"/>
      <c r="AB50" s="16"/>
      <c r="AC50" s="16"/>
      <c r="AD50" s="16"/>
      <c r="AE50" s="16"/>
      <c r="AF50" s="16"/>
      <c r="AG50" s="16"/>
      <c r="AH50" s="16"/>
      <c r="AI50" s="16"/>
    </row>
    <row r="51" spans="2:36" x14ac:dyDescent="0.3">
      <c r="B51" s="42">
        <v>43374</v>
      </c>
      <c r="C51" s="38">
        <v>244</v>
      </c>
      <c r="D51" s="38">
        <v>365</v>
      </c>
      <c r="E51" s="38">
        <v>365</v>
      </c>
      <c r="F51" s="35"/>
      <c r="G51" s="38">
        <v>330</v>
      </c>
      <c r="H51" s="38">
        <v>341</v>
      </c>
      <c r="I51" s="38">
        <v>244</v>
      </c>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row>
    <row r="52" spans="2:36" x14ac:dyDescent="0.3">
      <c r="B52" s="41">
        <v>43405</v>
      </c>
      <c r="C52" s="36">
        <v>244</v>
      </c>
      <c r="D52" s="36">
        <v>365</v>
      </c>
      <c r="E52" s="36">
        <v>365</v>
      </c>
      <c r="F52" s="35"/>
      <c r="G52" s="36">
        <v>330</v>
      </c>
      <c r="H52" s="36">
        <v>341</v>
      </c>
      <c r="I52" s="36">
        <v>244</v>
      </c>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6"/>
      <c r="AI52" s="16"/>
    </row>
    <row r="53" spans="2:36" x14ac:dyDescent="0.3">
      <c r="B53" s="42">
        <v>43435</v>
      </c>
      <c r="C53" s="38">
        <v>244</v>
      </c>
      <c r="D53" s="38">
        <v>365</v>
      </c>
      <c r="E53" s="38">
        <v>365</v>
      </c>
      <c r="F53" s="35"/>
      <c r="G53" s="38">
        <v>330</v>
      </c>
      <c r="H53" s="38">
        <v>341</v>
      </c>
      <c r="I53" s="38">
        <v>244</v>
      </c>
      <c r="J53" s="16"/>
      <c r="K53" s="16"/>
      <c r="L53" s="16"/>
      <c r="M53" s="16"/>
      <c r="N53" s="16"/>
      <c r="O53" s="16"/>
      <c r="P53" s="16"/>
      <c r="Q53" s="16"/>
      <c r="R53" s="16"/>
      <c r="S53" s="16"/>
      <c r="T53" s="16"/>
      <c r="U53" s="16"/>
      <c r="V53" s="16"/>
      <c r="W53" s="16"/>
      <c r="X53" s="16"/>
      <c r="Y53" s="16"/>
      <c r="Z53" s="16"/>
      <c r="AA53" s="16"/>
      <c r="AB53" s="16"/>
      <c r="AC53" s="16"/>
      <c r="AD53" s="16"/>
      <c r="AE53" s="16"/>
      <c r="AF53" s="16"/>
      <c r="AG53" s="16"/>
      <c r="AH53" s="16"/>
      <c r="AI53" s="16"/>
    </row>
    <row r="54" spans="2:36" x14ac:dyDescent="0.3">
      <c r="B54" s="41">
        <v>43466</v>
      </c>
      <c r="C54" s="36">
        <v>244</v>
      </c>
      <c r="D54" s="36">
        <v>365</v>
      </c>
      <c r="E54" s="36">
        <v>365</v>
      </c>
      <c r="F54" s="35"/>
      <c r="G54" s="36">
        <v>330</v>
      </c>
      <c r="H54" s="36">
        <v>341</v>
      </c>
      <c r="I54" s="36">
        <v>244</v>
      </c>
      <c r="J54" s="16"/>
      <c r="K54" s="16"/>
      <c r="L54" s="16"/>
      <c r="M54" s="16"/>
      <c r="N54" s="16"/>
      <c r="O54" s="16"/>
      <c r="P54" s="16"/>
      <c r="Q54" s="16"/>
      <c r="R54" s="16"/>
      <c r="S54" s="16"/>
      <c r="T54" s="16"/>
      <c r="U54" s="16"/>
      <c r="V54" s="16"/>
      <c r="W54" s="16"/>
      <c r="X54" s="16"/>
      <c r="Y54" s="16"/>
      <c r="Z54" s="16"/>
      <c r="AA54" s="16"/>
      <c r="AB54" s="16"/>
      <c r="AC54" s="16"/>
      <c r="AD54" s="16"/>
      <c r="AE54" s="16"/>
      <c r="AF54" s="16"/>
      <c r="AG54" s="16"/>
      <c r="AH54" s="16"/>
      <c r="AI54" s="16"/>
    </row>
    <row r="55" spans="2:36" x14ac:dyDescent="0.3">
      <c r="B55" s="42">
        <v>43497</v>
      </c>
      <c r="C55" s="38">
        <v>244</v>
      </c>
      <c r="D55" s="38">
        <v>365</v>
      </c>
      <c r="E55" s="38">
        <v>365</v>
      </c>
      <c r="F55" s="35"/>
      <c r="G55" s="38">
        <v>330</v>
      </c>
      <c r="H55" s="38">
        <v>341</v>
      </c>
      <c r="I55" s="38">
        <v>244</v>
      </c>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row>
    <row r="56" spans="2:36" x14ac:dyDescent="0.3">
      <c r="B56" s="41">
        <v>43525</v>
      </c>
      <c r="C56" s="36">
        <v>244</v>
      </c>
      <c r="D56" s="36">
        <v>365</v>
      </c>
      <c r="E56" s="36">
        <v>365</v>
      </c>
      <c r="F56" s="35"/>
      <c r="G56" s="36">
        <v>330</v>
      </c>
      <c r="H56" s="36">
        <v>341</v>
      </c>
      <c r="I56" s="36">
        <v>244</v>
      </c>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row>
    <row r="57" spans="2:36" x14ac:dyDescent="0.3">
      <c r="B57" s="42">
        <v>43556</v>
      </c>
      <c r="C57" s="38">
        <v>244</v>
      </c>
      <c r="D57" s="38">
        <v>365</v>
      </c>
      <c r="E57" s="38">
        <v>365</v>
      </c>
      <c r="F57" s="35"/>
      <c r="G57" s="38">
        <v>330</v>
      </c>
      <c r="H57" s="38">
        <v>341</v>
      </c>
      <c r="I57" s="38">
        <v>244</v>
      </c>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16"/>
      <c r="AI57" s="16"/>
    </row>
    <row r="58" spans="2:36" x14ac:dyDescent="0.3">
      <c r="B58" s="41">
        <v>43586</v>
      </c>
      <c r="C58" s="36">
        <v>244</v>
      </c>
      <c r="D58" s="36">
        <v>365</v>
      </c>
      <c r="E58" s="36">
        <v>365</v>
      </c>
      <c r="F58" s="35"/>
      <c r="G58" s="36">
        <v>330</v>
      </c>
      <c r="H58" s="36">
        <v>341</v>
      </c>
      <c r="I58" s="36">
        <v>244</v>
      </c>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row>
    <row r="59" spans="2:36" x14ac:dyDescent="0.3">
      <c r="B59" s="42">
        <v>43617</v>
      </c>
      <c r="C59" s="38">
        <v>244</v>
      </c>
      <c r="D59" s="38">
        <v>365</v>
      </c>
      <c r="E59" s="38">
        <v>365</v>
      </c>
      <c r="F59" s="35"/>
      <c r="G59" s="38">
        <v>330</v>
      </c>
      <c r="H59" s="38">
        <v>341</v>
      </c>
      <c r="I59" s="38">
        <v>244</v>
      </c>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row>
    <row r="60" spans="2:36" x14ac:dyDescent="0.3">
      <c r="B60" s="41">
        <v>43647</v>
      </c>
      <c r="C60" s="36">
        <v>244</v>
      </c>
      <c r="D60" s="36">
        <v>365</v>
      </c>
      <c r="E60" s="36">
        <v>365</v>
      </c>
      <c r="F60" s="35"/>
      <c r="G60" s="36">
        <v>330</v>
      </c>
      <c r="H60" s="36">
        <v>341</v>
      </c>
      <c r="I60" s="36">
        <v>244</v>
      </c>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row>
    <row r="61" spans="2:36" x14ac:dyDescent="0.3">
      <c r="B61" s="42">
        <v>43678</v>
      </c>
      <c r="C61" s="38">
        <v>244</v>
      </c>
      <c r="D61" s="38">
        <v>365</v>
      </c>
      <c r="E61" s="38">
        <v>365</v>
      </c>
      <c r="F61" s="35"/>
      <c r="G61" s="38">
        <v>330</v>
      </c>
      <c r="H61" s="38">
        <v>341</v>
      </c>
      <c r="I61" s="38">
        <v>244</v>
      </c>
      <c r="J61" s="16"/>
      <c r="K61" s="16"/>
      <c r="L61" s="16"/>
      <c r="M61" s="16"/>
      <c r="N61" s="16"/>
      <c r="O61" s="16"/>
      <c r="P61" s="16"/>
      <c r="Q61" s="16"/>
      <c r="R61" s="16"/>
      <c r="S61" s="16"/>
      <c r="T61" s="16"/>
      <c r="U61" s="16"/>
      <c r="V61" s="16"/>
      <c r="W61" s="16"/>
      <c r="X61" s="16"/>
      <c r="Y61" s="16"/>
      <c r="Z61" s="16"/>
      <c r="AA61" s="16"/>
      <c r="AB61" s="16"/>
      <c r="AC61" s="16"/>
      <c r="AD61" s="16"/>
      <c r="AE61" s="16"/>
      <c r="AF61" s="16"/>
      <c r="AG61" s="16"/>
      <c r="AH61" s="16"/>
      <c r="AI61" s="16"/>
    </row>
    <row r="62" spans="2:36" x14ac:dyDescent="0.3">
      <c r="B62" s="41">
        <v>43709</v>
      </c>
      <c r="C62" s="36">
        <v>244</v>
      </c>
      <c r="D62" s="36">
        <v>365</v>
      </c>
      <c r="E62" s="36">
        <v>365</v>
      </c>
      <c r="F62" s="35"/>
      <c r="G62" s="36">
        <v>330</v>
      </c>
      <c r="H62" s="36">
        <v>341</v>
      </c>
      <c r="I62" s="36">
        <v>244</v>
      </c>
      <c r="J62" s="16"/>
      <c r="K62" s="16"/>
      <c r="L62" s="16"/>
      <c r="M62" s="16"/>
      <c r="N62" s="16"/>
      <c r="O62" s="16"/>
      <c r="P62" s="16"/>
      <c r="Q62" s="16"/>
      <c r="R62" s="16"/>
      <c r="S62" s="16"/>
      <c r="T62" s="16"/>
      <c r="U62" s="16"/>
      <c r="V62" s="16"/>
      <c r="W62" s="16"/>
      <c r="X62" s="16"/>
      <c r="Y62" s="16"/>
      <c r="Z62" s="16"/>
      <c r="AA62" s="16"/>
      <c r="AB62" s="16"/>
      <c r="AC62" s="16"/>
      <c r="AD62" s="16"/>
      <c r="AE62" s="16"/>
      <c r="AF62" s="16"/>
      <c r="AG62" s="16"/>
      <c r="AH62" s="16"/>
      <c r="AI62" s="16"/>
      <c r="AJ62" s="16"/>
    </row>
    <row r="63" spans="2:36" x14ac:dyDescent="0.3">
      <c r="B63" s="42">
        <v>43739</v>
      </c>
      <c r="C63" s="38">
        <v>244</v>
      </c>
      <c r="D63" s="38">
        <v>365</v>
      </c>
      <c r="E63" s="38">
        <v>365</v>
      </c>
      <c r="F63" s="35"/>
      <c r="G63" s="38">
        <v>330</v>
      </c>
      <c r="H63" s="38">
        <v>341</v>
      </c>
      <c r="I63" s="38">
        <v>244</v>
      </c>
      <c r="J63" s="16"/>
      <c r="K63" s="16"/>
      <c r="L63" s="16"/>
      <c r="M63" s="16"/>
      <c r="N63" s="16"/>
      <c r="O63" s="16"/>
      <c r="P63" s="16"/>
      <c r="Q63" s="16"/>
      <c r="R63" s="16"/>
      <c r="S63" s="16"/>
      <c r="T63" s="16"/>
      <c r="U63" s="16"/>
      <c r="V63" s="16"/>
      <c r="W63" s="16"/>
      <c r="X63" s="16"/>
      <c r="Y63" s="16"/>
      <c r="Z63" s="16"/>
      <c r="AA63" s="16"/>
      <c r="AB63" s="16"/>
      <c r="AC63" s="16"/>
      <c r="AD63" s="16"/>
      <c r="AE63" s="16"/>
      <c r="AF63" s="16"/>
      <c r="AG63" s="16"/>
      <c r="AH63" s="16"/>
      <c r="AI63" s="16"/>
      <c r="AJ63" s="16"/>
    </row>
    <row r="64" spans="2:36" x14ac:dyDescent="0.3">
      <c r="B64" s="41">
        <v>43770</v>
      </c>
      <c r="C64" s="36">
        <v>244</v>
      </c>
      <c r="D64" s="36">
        <v>365</v>
      </c>
      <c r="E64" s="36">
        <v>365</v>
      </c>
      <c r="F64" s="35"/>
      <c r="G64" s="36">
        <v>330</v>
      </c>
      <c r="H64" s="36">
        <v>341</v>
      </c>
      <c r="I64" s="36">
        <v>244</v>
      </c>
      <c r="J64" s="16"/>
      <c r="K64" s="16"/>
      <c r="L64" s="16"/>
      <c r="M64" s="16"/>
      <c r="N64" s="16"/>
      <c r="O64" s="16"/>
      <c r="P64" s="16"/>
      <c r="Q64" s="16"/>
      <c r="R64" s="16"/>
      <c r="S64" s="16"/>
      <c r="T64" s="16"/>
      <c r="U64" s="16"/>
      <c r="V64" s="16"/>
      <c r="W64" s="16"/>
      <c r="X64" s="16"/>
      <c r="Y64" s="16"/>
      <c r="Z64" s="16"/>
      <c r="AA64" s="16"/>
      <c r="AB64" s="16"/>
      <c r="AC64" s="16"/>
      <c r="AD64" s="16"/>
      <c r="AE64" s="16"/>
      <c r="AF64" s="16"/>
      <c r="AG64" s="16"/>
      <c r="AH64" s="16"/>
      <c r="AI64" s="16"/>
      <c r="AJ64" s="16"/>
    </row>
    <row r="65" spans="2:36" x14ac:dyDescent="0.3">
      <c r="B65" s="42">
        <v>43800</v>
      </c>
      <c r="C65" s="38">
        <v>244</v>
      </c>
      <c r="D65" s="38">
        <v>365</v>
      </c>
      <c r="E65" s="38">
        <v>365</v>
      </c>
      <c r="F65" s="35"/>
      <c r="G65" s="38">
        <v>330</v>
      </c>
      <c r="H65" s="38">
        <v>341</v>
      </c>
      <c r="I65" s="38">
        <v>244</v>
      </c>
      <c r="J65" s="16"/>
      <c r="K65" s="16"/>
      <c r="L65" s="16"/>
      <c r="M65" s="16"/>
      <c r="N65" s="16"/>
      <c r="O65" s="16"/>
      <c r="P65" s="16"/>
      <c r="Q65" s="16"/>
      <c r="R65" s="16"/>
      <c r="S65" s="16"/>
      <c r="T65" s="16"/>
      <c r="U65" s="16"/>
      <c r="V65" s="16"/>
      <c r="W65" s="16"/>
      <c r="X65" s="16"/>
      <c r="Y65" s="16"/>
      <c r="Z65" s="16"/>
      <c r="AA65" s="16"/>
      <c r="AB65" s="16"/>
      <c r="AC65" s="16"/>
      <c r="AD65" s="16"/>
      <c r="AE65" s="16"/>
      <c r="AF65" s="16"/>
      <c r="AG65" s="16"/>
      <c r="AH65" s="16"/>
      <c r="AI65" s="16"/>
      <c r="AJ65" s="16"/>
    </row>
    <row r="66" spans="2:36" x14ac:dyDescent="0.3">
      <c r="B66" s="41">
        <v>43831</v>
      </c>
      <c r="C66" s="36">
        <v>244</v>
      </c>
      <c r="D66" s="36">
        <v>365</v>
      </c>
      <c r="E66" s="36">
        <v>365</v>
      </c>
      <c r="F66" s="35"/>
      <c r="G66" s="36">
        <v>330</v>
      </c>
      <c r="H66" s="36">
        <v>341</v>
      </c>
      <c r="I66" s="36">
        <v>244</v>
      </c>
      <c r="J66" s="16"/>
      <c r="K66" s="16"/>
      <c r="L66" s="16"/>
      <c r="M66" s="16"/>
      <c r="N66" s="16"/>
      <c r="O66" s="16"/>
      <c r="P66" s="16"/>
      <c r="Q66" s="16"/>
      <c r="R66" s="16"/>
      <c r="S66" s="16"/>
      <c r="T66" s="16"/>
      <c r="U66" s="16"/>
      <c r="V66" s="16"/>
      <c r="W66" s="16"/>
      <c r="X66" s="16"/>
      <c r="Y66" s="16"/>
      <c r="Z66" s="16"/>
      <c r="AA66" s="16"/>
      <c r="AB66" s="16"/>
      <c r="AC66" s="16"/>
      <c r="AD66" s="16"/>
      <c r="AE66" s="16"/>
      <c r="AF66" s="16"/>
      <c r="AG66" s="16"/>
      <c r="AH66" s="16"/>
      <c r="AI66" s="16"/>
      <c r="AJ66" s="16"/>
    </row>
    <row r="67" spans="2:36" x14ac:dyDescent="0.3">
      <c r="B67" s="42">
        <v>43862</v>
      </c>
      <c r="C67" s="38">
        <v>244</v>
      </c>
      <c r="D67" s="38">
        <v>365</v>
      </c>
      <c r="E67" s="38">
        <v>365</v>
      </c>
      <c r="F67" s="35"/>
      <c r="G67" s="38">
        <v>330</v>
      </c>
      <c r="H67" s="38">
        <v>341</v>
      </c>
      <c r="I67" s="38">
        <v>244</v>
      </c>
      <c r="J67" s="16"/>
      <c r="K67" s="16"/>
      <c r="L67" s="16"/>
      <c r="M67" s="16"/>
      <c r="N67" s="16"/>
      <c r="O67" s="16"/>
      <c r="P67" s="16"/>
      <c r="Q67" s="16"/>
      <c r="R67" s="16"/>
      <c r="S67" s="16"/>
      <c r="T67" s="16"/>
      <c r="U67" s="16"/>
      <c r="V67" s="16"/>
      <c r="W67" s="16"/>
      <c r="X67" s="16"/>
      <c r="Y67" s="16"/>
      <c r="Z67" s="16"/>
      <c r="AA67" s="16"/>
      <c r="AB67" s="16"/>
      <c r="AC67" s="16"/>
      <c r="AD67" s="16"/>
      <c r="AE67" s="16"/>
      <c r="AF67" s="16"/>
      <c r="AG67" s="16"/>
      <c r="AH67" s="16"/>
      <c r="AI67" s="16"/>
      <c r="AJ67" s="16"/>
    </row>
    <row r="68" spans="2:36" x14ac:dyDescent="0.3">
      <c r="B68" s="41">
        <v>43891</v>
      </c>
      <c r="C68" s="36">
        <v>244</v>
      </c>
      <c r="D68" s="36">
        <v>365</v>
      </c>
      <c r="E68" s="36">
        <v>365</v>
      </c>
      <c r="F68" s="35"/>
      <c r="G68" s="36">
        <v>330</v>
      </c>
      <c r="H68" s="36">
        <v>341</v>
      </c>
      <c r="I68" s="36">
        <v>244</v>
      </c>
      <c r="J68" s="16"/>
      <c r="K68" s="16"/>
      <c r="L68" s="16"/>
      <c r="M68" s="16"/>
      <c r="N68" s="16"/>
      <c r="O68" s="16"/>
      <c r="P68" s="16"/>
      <c r="Q68" s="16"/>
      <c r="R68" s="16"/>
      <c r="S68" s="16"/>
      <c r="T68" s="16"/>
      <c r="U68" s="16"/>
      <c r="V68" s="16"/>
      <c r="W68" s="16"/>
      <c r="X68" s="16"/>
      <c r="Y68" s="16"/>
      <c r="Z68" s="16"/>
      <c r="AA68" s="16"/>
      <c r="AB68" s="16"/>
      <c r="AC68" s="16"/>
      <c r="AD68" s="16"/>
      <c r="AE68" s="16"/>
      <c r="AF68" s="16"/>
      <c r="AG68" s="16"/>
      <c r="AH68" s="16"/>
      <c r="AI68" s="16"/>
      <c r="AJ68" s="16"/>
    </row>
    <row r="69" spans="2:36" x14ac:dyDescent="0.3">
      <c r="B69" s="42">
        <v>43922</v>
      </c>
      <c r="C69" s="38">
        <v>244</v>
      </c>
      <c r="D69" s="38">
        <v>365</v>
      </c>
      <c r="E69" s="38">
        <v>365</v>
      </c>
      <c r="F69" s="35"/>
      <c r="G69" s="38">
        <v>330</v>
      </c>
      <c r="H69" s="38">
        <v>341</v>
      </c>
      <c r="I69" s="38">
        <v>244</v>
      </c>
      <c r="J69" s="16"/>
      <c r="K69" s="16"/>
      <c r="L69" s="16"/>
      <c r="M69" s="16"/>
      <c r="N69" s="16"/>
      <c r="O69" s="16"/>
      <c r="P69" s="16"/>
      <c r="Q69" s="16"/>
      <c r="R69" s="16"/>
      <c r="S69" s="16"/>
      <c r="T69" s="16"/>
      <c r="U69" s="16"/>
      <c r="V69" s="16"/>
      <c r="W69" s="16"/>
      <c r="X69" s="16"/>
      <c r="Y69" s="16"/>
      <c r="Z69" s="16"/>
      <c r="AA69" s="16"/>
      <c r="AB69" s="16"/>
      <c r="AC69" s="16"/>
      <c r="AD69" s="16"/>
      <c r="AE69" s="16"/>
      <c r="AF69" s="16"/>
      <c r="AG69" s="16"/>
      <c r="AH69" s="16"/>
      <c r="AI69" s="16"/>
      <c r="AJ69" s="16"/>
    </row>
    <row r="70" spans="2:36" x14ac:dyDescent="0.3">
      <c r="B70" s="41">
        <v>43952</v>
      </c>
      <c r="C70" s="36">
        <v>244</v>
      </c>
      <c r="D70" s="36">
        <v>365</v>
      </c>
      <c r="E70" s="36">
        <v>365</v>
      </c>
      <c r="F70" s="35"/>
      <c r="G70" s="36">
        <v>330</v>
      </c>
      <c r="H70" s="36">
        <v>341</v>
      </c>
      <c r="I70" s="36">
        <v>244</v>
      </c>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row>
    <row r="71" spans="2:36" x14ac:dyDescent="0.3">
      <c r="B71" s="42">
        <v>43983</v>
      </c>
      <c r="C71" s="38">
        <v>244</v>
      </c>
      <c r="D71" s="38">
        <v>365</v>
      </c>
      <c r="E71" s="38">
        <v>365</v>
      </c>
      <c r="F71" s="35"/>
      <c r="G71" s="38">
        <v>330</v>
      </c>
      <c r="H71" s="38">
        <v>341</v>
      </c>
      <c r="I71" s="38">
        <v>244</v>
      </c>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16"/>
    </row>
    <row r="72" spans="2:36" x14ac:dyDescent="0.3">
      <c r="B72" s="41">
        <v>44013</v>
      </c>
      <c r="C72" s="36">
        <v>244</v>
      </c>
      <c r="D72" s="36">
        <v>365</v>
      </c>
      <c r="E72" s="36">
        <v>365</v>
      </c>
      <c r="F72" s="35"/>
      <c r="G72" s="36">
        <v>330</v>
      </c>
      <c r="H72" s="36">
        <v>341</v>
      </c>
      <c r="I72" s="36">
        <v>244</v>
      </c>
      <c r="J72" s="16"/>
      <c r="K72" s="16"/>
      <c r="L72" s="16"/>
      <c r="M72" s="16"/>
      <c r="N72" s="16"/>
      <c r="O72" s="16"/>
      <c r="P72" s="16"/>
      <c r="Q72" s="16"/>
      <c r="R72" s="16"/>
      <c r="S72" s="16"/>
      <c r="T72" s="16"/>
      <c r="U72" s="16"/>
      <c r="V72" s="16"/>
      <c r="W72" s="16"/>
      <c r="X72" s="16"/>
      <c r="Y72" s="16"/>
      <c r="Z72" s="16"/>
      <c r="AA72" s="16"/>
      <c r="AB72" s="16"/>
      <c r="AC72" s="16"/>
      <c r="AD72" s="16"/>
      <c r="AE72" s="16"/>
      <c r="AF72" s="16"/>
      <c r="AG72" s="16"/>
      <c r="AH72" s="16"/>
      <c r="AI72" s="16"/>
      <c r="AJ72" s="16"/>
    </row>
    <row r="73" spans="2:36" x14ac:dyDescent="0.3">
      <c r="B73" s="42">
        <v>44044</v>
      </c>
      <c r="C73" s="38">
        <v>244</v>
      </c>
      <c r="D73" s="38">
        <v>365</v>
      </c>
      <c r="E73" s="38">
        <v>365</v>
      </c>
      <c r="F73" s="35"/>
      <c r="G73" s="38">
        <v>330</v>
      </c>
      <c r="H73" s="38">
        <v>341</v>
      </c>
      <c r="I73" s="38">
        <v>244</v>
      </c>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16"/>
      <c r="AI73" s="16"/>
      <c r="AJ73" s="16"/>
    </row>
    <row r="74" spans="2:36" x14ac:dyDescent="0.3">
      <c r="B74" s="41">
        <v>44075</v>
      </c>
      <c r="C74" s="36">
        <v>244</v>
      </c>
      <c r="D74" s="36">
        <v>365</v>
      </c>
      <c r="E74" s="36">
        <v>365</v>
      </c>
      <c r="F74" s="35"/>
      <c r="G74" s="36">
        <v>330</v>
      </c>
      <c r="H74" s="36">
        <v>341</v>
      </c>
      <c r="I74" s="36">
        <v>244</v>
      </c>
      <c r="J74" s="16"/>
      <c r="K74" s="16"/>
      <c r="L74" s="16"/>
      <c r="M74" s="16"/>
      <c r="N74" s="16"/>
      <c r="O74" s="16"/>
      <c r="P74" s="16"/>
      <c r="Q74" s="16"/>
      <c r="R74" s="16"/>
      <c r="S74" s="16"/>
      <c r="T74" s="16"/>
      <c r="U74" s="16"/>
      <c r="V74" s="16"/>
      <c r="W74" s="16"/>
      <c r="X74" s="16"/>
      <c r="Y74" s="16"/>
      <c r="Z74" s="16"/>
      <c r="AA74" s="16"/>
      <c r="AB74" s="16"/>
      <c r="AC74" s="16"/>
      <c r="AD74" s="16"/>
      <c r="AE74" s="16"/>
      <c r="AF74" s="16"/>
      <c r="AG74" s="16"/>
      <c r="AH74" s="16"/>
      <c r="AI74" s="16"/>
      <c r="AJ74" s="16"/>
    </row>
    <row r="75" spans="2:36" x14ac:dyDescent="0.3">
      <c r="B75" s="42">
        <v>44105</v>
      </c>
      <c r="C75" s="38">
        <v>244</v>
      </c>
      <c r="D75" s="38">
        <v>365</v>
      </c>
      <c r="E75" s="38">
        <v>365</v>
      </c>
      <c r="F75" s="35"/>
      <c r="G75" s="38">
        <v>330</v>
      </c>
      <c r="H75" s="38">
        <v>341</v>
      </c>
      <c r="I75" s="38">
        <v>244</v>
      </c>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row>
    <row r="76" spans="2:36" x14ac:dyDescent="0.3">
      <c r="B76" s="41">
        <v>44136</v>
      </c>
      <c r="C76" s="36">
        <v>244</v>
      </c>
      <c r="D76" s="36">
        <v>365</v>
      </c>
      <c r="E76" s="36">
        <v>365</v>
      </c>
      <c r="F76" s="35"/>
      <c r="G76" s="36">
        <v>330</v>
      </c>
      <c r="H76" s="36">
        <v>341</v>
      </c>
      <c r="I76" s="36">
        <v>244</v>
      </c>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row>
    <row r="77" spans="2:36" x14ac:dyDescent="0.3">
      <c r="B77" s="42">
        <v>44166</v>
      </c>
      <c r="C77" s="38">
        <v>244</v>
      </c>
      <c r="D77" s="38">
        <v>365</v>
      </c>
      <c r="E77" s="38">
        <v>365</v>
      </c>
      <c r="F77" s="35"/>
      <c r="G77" s="38">
        <v>330</v>
      </c>
      <c r="H77" s="38">
        <v>341</v>
      </c>
      <c r="I77" s="38">
        <v>244</v>
      </c>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row>
    <row r="78" spans="2:36" x14ac:dyDescent="0.3">
      <c r="B78" s="41">
        <v>44197</v>
      </c>
      <c r="C78" s="36">
        <v>244</v>
      </c>
      <c r="D78" s="36">
        <v>365</v>
      </c>
      <c r="E78" s="36">
        <v>365</v>
      </c>
      <c r="F78" s="35"/>
      <c r="G78" s="36">
        <v>330</v>
      </c>
      <c r="H78" s="36">
        <v>341</v>
      </c>
      <c r="I78" s="36">
        <v>244</v>
      </c>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row>
    <row r="79" spans="2:36" x14ac:dyDescent="0.3">
      <c r="B79" s="42">
        <v>44228</v>
      </c>
      <c r="C79" s="38">
        <v>244</v>
      </c>
      <c r="D79" s="38">
        <v>365</v>
      </c>
      <c r="E79" s="38">
        <v>365</v>
      </c>
      <c r="F79" s="35"/>
      <c r="G79" s="38">
        <v>330</v>
      </c>
      <c r="H79" s="38">
        <v>341</v>
      </c>
      <c r="I79" s="38">
        <v>244</v>
      </c>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row>
    <row r="80" spans="2:36" x14ac:dyDescent="0.3">
      <c r="B80" s="41">
        <v>44256</v>
      </c>
      <c r="C80" s="36">
        <v>244</v>
      </c>
      <c r="D80" s="36">
        <v>365</v>
      </c>
      <c r="E80" s="36">
        <v>365</v>
      </c>
      <c r="F80" s="35"/>
      <c r="G80" s="36">
        <v>330</v>
      </c>
      <c r="H80" s="36">
        <v>341</v>
      </c>
      <c r="I80" s="36">
        <v>244</v>
      </c>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row>
    <row r="81" spans="2:36" x14ac:dyDescent="0.3">
      <c r="B81" s="42">
        <v>44287</v>
      </c>
      <c r="C81" s="38">
        <v>244</v>
      </c>
      <c r="D81" s="38">
        <v>365</v>
      </c>
      <c r="E81" s="38">
        <v>365</v>
      </c>
      <c r="F81" s="35"/>
      <c r="G81" s="38">
        <v>330</v>
      </c>
      <c r="H81" s="38">
        <v>341</v>
      </c>
      <c r="I81" s="38">
        <v>244</v>
      </c>
      <c r="J81" s="16"/>
      <c r="K81" s="16"/>
      <c r="L81" s="16"/>
      <c r="M81" s="16"/>
      <c r="N81" s="16"/>
      <c r="O81" s="16"/>
      <c r="P81" s="16"/>
      <c r="Q81" s="16"/>
      <c r="R81" s="16"/>
      <c r="S81" s="16"/>
      <c r="T81" s="16"/>
      <c r="U81" s="16"/>
      <c r="V81" s="16"/>
      <c r="W81" s="16"/>
      <c r="X81" s="16"/>
      <c r="Y81" s="16"/>
      <c r="Z81" s="16"/>
      <c r="AA81" s="16"/>
      <c r="AB81" s="16"/>
      <c r="AC81" s="16"/>
      <c r="AD81" s="16"/>
      <c r="AE81" s="16"/>
      <c r="AF81" s="16"/>
      <c r="AG81" s="16"/>
      <c r="AH81" s="16"/>
      <c r="AI81" s="16"/>
      <c r="AJ81" s="16"/>
    </row>
    <row r="82" spans="2:36" x14ac:dyDescent="0.3">
      <c r="B82" s="41">
        <v>44317</v>
      </c>
      <c r="C82" s="36">
        <v>244</v>
      </c>
      <c r="D82" s="36">
        <v>365</v>
      </c>
      <c r="E82" s="36">
        <v>365</v>
      </c>
      <c r="F82" s="35"/>
      <c r="G82" s="36">
        <v>330</v>
      </c>
      <c r="H82" s="36">
        <v>341</v>
      </c>
      <c r="I82" s="36">
        <v>244</v>
      </c>
      <c r="J82" s="16"/>
      <c r="K82" s="16"/>
      <c r="L82" s="16"/>
      <c r="M82" s="16"/>
      <c r="N82" s="16"/>
      <c r="O82" s="16"/>
      <c r="P82" s="16"/>
      <c r="Q82" s="16"/>
      <c r="R82" s="16"/>
      <c r="S82" s="16"/>
      <c r="T82" s="16"/>
      <c r="U82" s="16"/>
      <c r="V82" s="16"/>
      <c r="W82" s="16"/>
      <c r="X82" s="16"/>
      <c r="Y82" s="16"/>
      <c r="Z82" s="16"/>
      <c r="AA82" s="16"/>
      <c r="AB82" s="16"/>
      <c r="AC82" s="16"/>
      <c r="AD82" s="16"/>
      <c r="AE82" s="16"/>
      <c r="AF82" s="16"/>
      <c r="AG82" s="16"/>
      <c r="AH82" s="16"/>
      <c r="AI82" s="16"/>
      <c r="AJ82" s="16"/>
    </row>
    <row r="83" spans="2:36" x14ac:dyDescent="0.3">
      <c r="B83" s="42">
        <v>44348</v>
      </c>
      <c r="C83" s="38">
        <v>244</v>
      </c>
      <c r="D83" s="38">
        <v>365</v>
      </c>
      <c r="E83" s="38">
        <v>365</v>
      </c>
      <c r="F83" s="35"/>
      <c r="G83" s="38">
        <v>330</v>
      </c>
      <c r="H83" s="38">
        <v>341</v>
      </c>
      <c r="I83" s="38">
        <v>244</v>
      </c>
      <c r="J83" s="16"/>
      <c r="K83" s="16"/>
      <c r="L83" s="16"/>
      <c r="M83" s="16"/>
      <c r="N83" s="16"/>
      <c r="O83" s="16"/>
      <c r="P83" s="16"/>
      <c r="Q83" s="16"/>
      <c r="R83" s="16"/>
      <c r="S83" s="16"/>
      <c r="T83" s="16"/>
      <c r="U83" s="16"/>
      <c r="V83" s="16"/>
      <c r="W83" s="16"/>
      <c r="X83" s="16"/>
      <c r="Y83" s="16"/>
      <c r="Z83" s="16"/>
      <c r="AA83" s="16"/>
      <c r="AB83" s="16"/>
      <c r="AC83" s="16"/>
      <c r="AD83" s="16"/>
      <c r="AE83" s="16"/>
      <c r="AF83" s="16"/>
      <c r="AG83" s="16"/>
      <c r="AH83" s="16"/>
      <c r="AI83" s="16"/>
      <c r="AJ83" s="16"/>
    </row>
    <row r="84" spans="2:36" x14ac:dyDescent="0.3">
      <c r="B84" s="41">
        <v>44378</v>
      </c>
      <c r="C84" s="36">
        <v>244</v>
      </c>
      <c r="D84" s="36">
        <v>365</v>
      </c>
      <c r="E84" s="36">
        <v>365</v>
      </c>
      <c r="F84" s="35"/>
      <c r="G84" s="36">
        <v>330</v>
      </c>
      <c r="H84" s="36">
        <v>341</v>
      </c>
      <c r="I84" s="36">
        <v>244</v>
      </c>
      <c r="J84" s="16"/>
      <c r="K84" s="16"/>
      <c r="L84" s="16"/>
      <c r="M84" s="16"/>
      <c r="N84" s="16"/>
      <c r="O84" s="16"/>
      <c r="P84" s="16"/>
      <c r="Q84" s="16"/>
      <c r="R84" s="16"/>
      <c r="S84" s="16"/>
      <c r="T84" s="16"/>
      <c r="U84" s="16"/>
      <c r="V84" s="16"/>
      <c r="W84" s="16"/>
      <c r="X84" s="16"/>
      <c r="Y84" s="16"/>
      <c r="Z84" s="16"/>
      <c r="AA84" s="16"/>
      <c r="AB84" s="16"/>
      <c r="AC84" s="16"/>
      <c r="AD84" s="16"/>
      <c r="AE84" s="16"/>
      <c r="AF84" s="16"/>
      <c r="AG84" s="16"/>
      <c r="AH84" s="16"/>
      <c r="AI84" s="16"/>
      <c r="AJ84" s="16"/>
    </row>
    <row r="85" spans="2:36" x14ac:dyDescent="0.3">
      <c r="B85" s="42">
        <v>44409</v>
      </c>
      <c r="C85" s="38">
        <v>244</v>
      </c>
      <c r="D85" s="38">
        <v>365</v>
      </c>
      <c r="E85" s="38">
        <v>365</v>
      </c>
      <c r="F85" s="35"/>
      <c r="G85" s="38">
        <v>330</v>
      </c>
      <c r="H85" s="38">
        <v>341</v>
      </c>
      <c r="I85" s="38">
        <v>244</v>
      </c>
      <c r="J85" s="16"/>
      <c r="K85" s="16"/>
      <c r="L85" s="16"/>
      <c r="M85" s="16"/>
      <c r="N85" s="16"/>
      <c r="O85" s="16"/>
      <c r="P85" s="16"/>
      <c r="Q85" s="16"/>
      <c r="R85" s="16"/>
      <c r="S85" s="16"/>
      <c r="T85" s="16"/>
      <c r="U85" s="16"/>
      <c r="V85" s="16"/>
      <c r="W85" s="16"/>
      <c r="X85" s="16"/>
      <c r="Y85" s="16"/>
      <c r="Z85" s="16"/>
      <c r="AA85" s="16"/>
      <c r="AB85" s="16"/>
      <c r="AC85" s="16"/>
      <c r="AD85" s="16"/>
      <c r="AE85" s="16"/>
      <c r="AF85" s="16"/>
      <c r="AG85" s="16"/>
      <c r="AH85" s="16"/>
      <c r="AI85" s="16"/>
      <c r="AJ85" s="16"/>
    </row>
    <row r="86" spans="2:36" x14ac:dyDescent="0.3">
      <c r="B86" s="41">
        <v>44440</v>
      </c>
      <c r="C86" s="36">
        <v>244</v>
      </c>
      <c r="D86" s="36">
        <v>365</v>
      </c>
      <c r="E86" s="36">
        <v>365</v>
      </c>
      <c r="F86" s="35"/>
      <c r="G86" s="36">
        <v>330</v>
      </c>
      <c r="H86" s="36">
        <v>341</v>
      </c>
      <c r="I86" s="36">
        <v>244</v>
      </c>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row>
    <row r="87" spans="2:36" x14ac:dyDescent="0.3">
      <c r="B87" s="42">
        <v>44470</v>
      </c>
      <c r="C87" s="38">
        <v>244</v>
      </c>
      <c r="D87" s="38">
        <v>365</v>
      </c>
      <c r="E87" s="38">
        <v>365</v>
      </c>
      <c r="F87" s="35"/>
      <c r="G87" s="38">
        <v>330</v>
      </c>
      <c r="H87" s="38">
        <v>341</v>
      </c>
      <c r="I87" s="38">
        <v>244</v>
      </c>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6"/>
      <c r="AI87" s="16"/>
      <c r="AJ87" s="16"/>
    </row>
    <row r="88" spans="2:36" x14ac:dyDescent="0.3">
      <c r="B88" s="41">
        <v>44501</v>
      </c>
      <c r="C88" s="36">
        <v>244</v>
      </c>
      <c r="D88" s="36">
        <v>365</v>
      </c>
      <c r="E88" s="36">
        <v>365</v>
      </c>
      <c r="F88" s="35"/>
      <c r="G88" s="36">
        <v>330</v>
      </c>
      <c r="H88" s="36">
        <v>341</v>
      </c>
      <c r="I88" s="36">
        <v>244</v>
      </c>
      <c r="J88" s="16"/>
      <c r="K88" s="16"/>
      <c r="L88" s="16"/>
      <c r="M88" s="16"/>
      <c r="N88" s="16"/>
      <c r="O88" s="16"/>
      <c r="P88" s="16"/>
      <c r="Q88" s="16"/>
      <c r="R88" s="16"/>
      <c r="S88" s="16"/>
      <c r="T88" s="16"/>
      <c r="U88" s="16"/>
      <c r="V88" s="16"/>
      <c r="W88" s="16"/>
      <c r="X88" s="16"/>
      <c r="Y88" s="16"/>
      <c r="Z88" s="16"/>
      <c r="AA88" s="16"/>
      <c r="AB88" s="16"/>
      <c r="AC88" s="16"/>
      <c r="AD88" s="16"/>
      <c r="AE88" s="16"/>
      <c r="AF88" s="16"/>
      <c r="AG88" s="16"/>
      <c r="AH88" s="16"/>
      <c r="AI88" s="16"/>
      <c r="AJ88" s="16"/>
    </row>
    <row r="89" spans="2:36" x14ac:dyDescent="0.3">
      <c r="B89" s="42">
        <v>44531</v>
      </c>
      <c r="C89" s="38">
        <v>267</v>
      </c>
      <c r="D89" s="38">
        <v>401</v>
      </c>
      <c r="E89" s="38">
        <v>401</v>
      </c>
      <c r="F89" s="35"/>
      <c r="G89" s="38">
        <v>357</v>
      </c>
      <c r="H89" s="38">
        <v>374</v>
      </c>
      <c r="I89" s="38">
        <v>267</v>
      </c>
      <c r="J89" s="16"/>
      <c r="K89" s="16"/>
      <c r="L89" s="16"/>
      <c r="M89" s="16"/>
      <c r="N89" s="16"/>
      <c r="O89" s="16"/>
      <c r="P89" s="16"/>
      <c r="Q89" s="16"/>
      <c r="R89" s="16"/>
      <c r="S89" s="16"/>
      <c r="T89" s="16"/>
      <c r="U89" s="16"/>
      <c r="V89" s="16"/>
      <c r="W89" s="16"/>
      <c r="X89" s="16"/>
      <c r="Y89" s="16"/>
      <c r="Z89" s="16"/>
      <c r="AA89" s="16"/>
      <c r="AB89" s="16"/>
      <c r="AC89" s="16"/>
      <c r="AD89" s="16"/>
      <c r="AE89" s="16"/>
      <c r="AF89" s="16"/>
      <c r="AG89" s="16"/>
      <c r="AH89" s="16"/>
      <c r="AI89" s="16"/>
      <c r="AJ89" s="16"/>
    </row>
    <row r="90" spans="2:36" x14ac:dyDescent="0.3">
      <c r="B90" s="41">
        <v>44562</v>
      </c>
      <c r="C90" s="36">
        <v>267</v>
      </c>
      <c r="D90" s="36">
        <v>401</v>
      </c>
      <c r="E90" s="36">
        <v>401</v>
      </c>
      <c r="F90" s="35"/>
      <c r="G90" s="36">
        <v>357</v>
      </c>
      <c r="H90" s="36">
        <v>374</v>
      </c>
      <c r="I90" s="36">
        <v>267</v>
      </c>
      <c r="J90" s="16"/>
      <c r="K90" s="16"/>
      <c r="L90" s="16"/>
      <c r="M90" s="16"/>
      <c r="N90" s="16"/>
      <c r="O90" s="16"/>
      <c r="P90" s="16"/>
      <c r="Q90" s="16"/>
      <c r="R90" s="16"/>
      <c r="S90" s="16"/>
      <c r="T90" s="16"/>
      <c r="U90" s="16"/>
      <c r="V90" s="16"/>
      <c r="W90" s="16"/>
      <c r="X90" s="16"/>
      <c r="Y90" s="16"/>
      <c r="Z90" s="16"/>
      <c r="AA90" s="16"/>
      <c r="AB90" s="16"/>
      <c r="AC90" s="16"/>
      <c r="AD90" s="16"/>
      <c r="AE90" s="16"/>
      <c r="AF90" s="16"/>
      <c r="AG90" s="16"/>
      <c r="AH90" s="16"/>
      <c r="AI90" s="16"/>
      <c r="AJ90" s="16"/>
    </row>
    <row r="91" spans="2:36" x14ac:dyDescent="0.3">
      <c r="B91" s="42">
        <v>44593</v>
      </c>
      <c r="C91" s="38">
        <v>267</v>
      </c>
      <c r="D91" s="38">
        <v>401</v>
      </c>
      <c r="E91" s="38">
        <v>401</v>
      </c>
      <c r="F91" s="35"/>
      <c r="G91" s="38">
        <v>357</v>
      </c>
      <c r="H91" s="38">
        <v>374</v>
      </c>
      <c r="I91" s="38">
        <v>267</v>
      </c>
      <c r="J91" s="16"/>
      <c r="K91" s="16"/>
      <c r="L91" s="16"/>
      <c r="M91" s="16"/>
      <c r="N91" s="16"/>
      <c r="O91" s="16"/>
      <c r="P91" s="16"/>
      <c r="Q91" s="16"/>
      <c r="R91" s="16"/>
      <c r="S91" s="16"/>
      <c r="T91" s="16"/>
      <c r="U91" s="16"/>
      <c r="V91" s="16"/>
      <c r="W91" s="16"/>
      <c r="X91" s="16"/>
      <c r="Y91" s="16"/>
      <c r="Z91" s="16"/>
      <c r="AA91" s="16"/>
      <c r="AB91" s="16"/>
      <c r="AC91" s="16"/>
      <c r="AD91" s="16"/>
      <c r="AE91" s="16"/>
      <c r="AF91" s="16"/>
      <c r="AG91" s="16"/>
      <c r="AH91" s="16"/>
      <c r="AI91" s="16"/>
      <c r="AJ91" s="16"/>
    </row>
    <row r="92" spans="2:36" x14ac:dyDescent="0.3">
      <c r="B92" s="41">
        <v>44621</v>
      </c>
      <c r="C92" s="36">
        <v>267</v>
      </c>
      <c r="D92" s="36">
        <v>401</v>
      </c>
      <c r="E92" s="36">
        <v>401</v>
      </c>
      <c r="F92" s="35"/>
      <c r="G92" s="36">
        <v>357</v>
      </c>
      <c r="H92" s="36">
        <v>374</v>
      </c>
      <c r="I92" s="36">
        <v>267</v>
      </c>
      <c r="J92" s="16"/>
      <c r="K92" s="16"/>
      <c r="L92" s="16"/>
      <c r="M92" s="16"/>
      <c r="N92" s="16"/>
      <c r="O92" s="16"/>
      <c r="P92" s="16"/>
      <c r="Q92" s="16"/>
      <c r="R92" s="16"/>
      <c r="S92" s="16"/>
      <c r="T92" s="16"/>
      <c r="U92" s="16"/>
      <c r="V92" s="16"/>
      <c r="W92" s="16"/>
      <c r="X92" s="16"/>
      <c r="Y92" s="16"/>
      <c r="Z92" s="16"/>
      <c r="AA92" s="16"/>
      <c r="AB92" s="16"/>
      <c r="AC92" s="16"/>
      <c r="AD92" s="16"/>
      <c r="AE92" s="16"/>
      <c r="AF92" s="16"/>
      <c r="AG92" s="16"/>
      <c r="AH92" s="16"/>
      <c r="AI92" s="16"/>
      <c r="AJ92" s="16"/>
    </row>
    <row r="93" spans="2:36" x14ac:dyDescent="0.3">
      <c r="B93" s="42">
        <v>44652</v>
      </c>
      <c r="C93" s="38">
        <v>304</v>
      </c>
      <c r="D93" s="38">
        <v>511</v>
      </c>
      <c r="E93" s="38">
        <v>511</v>
      </c>
      <c r="F93" s="35"/>
      <c r="G93" s="38">
        <v>401</v>
      </c>
      <c r="H93" s="38">
        <v>502</v>
      </c>
      <c r="I93" s="38">
        <v>304</v>
      </c>
      <c r="J93" s="87"/>
      <c r="K93" s="16"/>
      <c r="L93" s="16"/>
      <c r="M93" s="16"/>
      <c r="N93" s="16"/>
      <c r="O93" s="16"/>
      <c r="P93" s="16"/>
      <c r="Q93" s="16"/>
      <c r="R93" s="16"/>
      <c r="S93" s="16"/>
      <c r="T93" s="16"/>
      <c r="U93" s="16"/>
      <c r="V93" s="16"/>
      <c r="W93" s="16"/>
      <c r="X93" s="16"/>
      <c r="Y93" s="16"/>
      <c r="Z93" s="16"/>
      <c r="AA93" s="16"/>
      <c r="AB93" s="16"/>
      <c r="AC93" s="16"/>
      <c r="AD93" s="16"/>
      <c r="AE93" s="16"/>
      <c r="AF93" s="16"/>
      <c r="AG93" s="16"/>
      <c r="AH93" s="16"/>
      <c r="AI93" s="16"/>
      <c r="AJ93" s="16"/>
    </row>
    <row r="94" spans="2:36" x14ac:dyDescent="0.3">
      <c r="B94" s="41">
        <v>44682</v>
      </c>
      <c r="C94" s="36">
        <v>304</v>
      </c>
      <c r="D94" s="36">
        <v>511</v>
      </c>
      <c r="E94" s="36">
        <v>511</v>
      </c>
      <c r="F94" s="35"/>
      <c r="G94" s="36">
        <v>401</v>
      </c>
      <c r="H94" s="36">
        <v>502</v>
      </c>
      <c r="I94" s="36">
        <v>304</v>
      </c>
      <c r="J94" s="16"/>
      <c r="K94" s="16"/>
      <c r="L94" s="16"/>
      <c r="M94" s="16"/>
      <c r="N94" s="16"/>
      <c r="O94" s="16"/>
      <c r="P94" s="16"/>
      <c r="Q94" s="16"/>
      <c r="R94" s="16"/>
      <c r="S94" s="16"/>
      <c r="T94" s="16"/>
      <c r="U94" s="16"/>
      <c r="V94" s="16"/>
      <c r="W94" s="16"/>
      <c r="X94" s="16"/>
      <c r="Y94" s="16"/>
      <c r="Z94" s="16"/>
      <c r="AA94" s="16"/>
      <c r="AB94" s="16"/>
      <c r="AC94" s="16"/>
      <c r="AD94" s="16"/>
      <c r="AE94" s="16"/>
      <c r="AF94" s="16"/>
      <c r="AG94" s="16"/>
      <c r="AH94" s="16"/>
      <c r="AI94" s="16"/>
      <c r="AJ94" s="16"/>
    </row>
    <row r="95" spans="2:36" x14ac:dyDescent="0.3">
      <c r="B95" s="42">
        <v>44713</v>
      </c>
      <c r="C95" s="38">
        <v>304</v>
      </c>
      <c r="D95" s="38">
        <v>511</v>
      </c>
      <c r="E95" s="38">
        <v>511</v>
      </c>
      <c r="F95" s="35"/>
      <c r="G95" s="38">
        <v>401</v>
      </c>
      <c r="H95" s="38">
        <v>502</v>
      </c>
      <c r="I95" s="38">
        <v>304</v>
      </c>
      <c r="J95" s="16"/>
      <c r="K95" s="16"/>
      <c r="L95" s="16"/>
      <c r="M95" s="16"/>
      <c r="N95" s="16"/>
      <c r="O95" s="16"/>
      <c r="P95" s="16"/>
      <c r="Q95" s="16"/>
      <c r="R95" s="16"/>
      <c r="S95" s="16"/>
      <c r="T95" s="16"/>
      <c r="U95" s="16"/>
      <c r="V95" s="16"/>
      <c r="W95" s="16"/>
      <c r="X95" s="16"/>
      <c r="Y95" s="16"/>
      <c r="Z95" s="16"/>
      <c r="AA95" s="16"/>
      <c r="AB95" s="16"/>
      <c r="AC95" s="16"/>
      <c r="AD95" s="16"/>
      <c r="AE95" s="16"/>
      <c r="AF95" s="16"/>
      <c r="AG95" s="16"/>
      <c r="AH95" s="16"/>
      <c r="AI95" s="16"/>
      <c r="AJ95" s="16"/>
    </row>
    <row r="96" spans="2:36" x14ac:dyDescent="0.3">
      <c r="B96" s="41">
        <v>44743</v>
      </c>
      <c r="C96" s="36">
        <v>315</v>
      </c>
      <c r="D96" s="36">
        <v>541</v>
      </c>
      <c r="E96" s="36">
        <v>541</v>
      </c>
      <c r="F96" s="35"/>
      <c r="G96" s="36">
        <v>414</v>
      </c>
      <c r="H96" s="36">
        <v>531</v>
      </c>
      <c r="I96" s="36">
        <v>315</v>
      </c>
      <c r="J96" s="16"/>
      <c r="K96" s="16"/>
      <c r="L96" s="16"/>
      <c r="M96" s="16"/>
      <c r="N96" s="16"/>
      <c r="O96" s="16"/>
      <c r="P96" s="16"/>
      <c r="Q96" s="16"/>
      <c r="R96" s="16"/>
      <c r="S96" s="16"/>
      <c r="T96" s="16"/>
      <c r="U96" s="16"/>
      <c r="V96" s="16"/>
      <c r="W96" s="16"/>
      <c r="X96" s="16"/>
      <c r="Y96" s="16"/>
      <c r="Z96" s="16"/>
      <c r="AA96" s="16"/>
      <c r="AB96" s="16"/>
      <c r="AC96" s="16"/>
      <c r="AD96" s="16"/>
      <c r="AE96" s="16"/>
      <c r="AF96" s="16"/>
      <c r="AG96" s="16"/>
      <c r="AH96" s="16"/>
      <c r="AI96" s="16"/>
      <c r="AJ96" s="16"/>
    </row>
    <row r="97" spans="2:36" x14ac:dyDescent="0.3">
      <c r="B97" s="42">
        <v>44774</v>
      </c>
      <c r="C97" s="38">
        <v>315</v>
      </c>
      <c r="D97" s="38">
        <v>541</v>
      </c>
      <c r="E97" s="38">
        <v>541</v>
      </c>
      <c r="F97" s="35"/>
      <c r="G97" s="38">
        <v>414</v>
      </c>
      <c r="H97" s="38">
        <v>531</v>
      </c>
      <c r="I97" s="38">
        <v>315</v>
      </c>
      <c r="J97" s="16"/>
      <c r="K97" s="16"/>
      <c r="L97" s="16"/>
      <c r="M97" s="16"/>
      <c r="N97" s="16"/>
      <c r="O97" s="16"/>
      <c r="P97" s="16"/>
      <c r="Q97" s="16"/>
      <c r="R97" s="16"/>
      <c r="S97" s="16"/>
      <c r="T97" s="16"/>
      <c r="U97" s="16"/>
      <c r="V97" s="16"/>
      <c r="W97" s="16"/>
      <c r="X97" s="16"/>
      <c r="Y97" s="16"/>
      <c r="Z97" s="16"/>
      <c r="AA97" s="16"/>
      <c r="AB97" s="16"/>
      <c r="AC97" s="16"/>
      <c r="AD97" s="16"/>
      <c r="AE97" s="16"/>
      <c r="AF97" s="16"/>
      <c r="AG97" s="16"/>
      <c r="AH97" s="16"/>
      <c r="AI97" s="16"/>
      <c r="AJ97" s="16"/>
    </row>
    <row r="98" spans="2:36" x14ac:dyDescent="0.3">
      <c r="B98" s="41">
        <v>44805</v>
      </c>
      <c r="C98" s="36">
        <v>315</v>
      </c>
      <c r="D98" s="36">
        <v>541</v>
      </c>
      <c r="E98" s="36">
        <v>541</v>
      </c>
      <c r="F98" s="35"/>
      <c r="G98" s="36">
        <v>414</v>
      </c>
      <c r="H98" s="36">
        <v>531</v>
      </c>
      <c r="I98" s="36">
        <v>315</v>
      </c>
      <c r="J98" s="16"/>
      <c r="K98" s="16"/>
      <c r="L98" s="16"/>
      <c r="M98" s="16"/>
      <c r="N98" s="16"/>
      <c r="O98" s="16"/>
      <c r="P98" s="16"/>
      <c r="Q98" s="16"/>
      <c r="R98" s="16"/>
      <c r="S98" s="16"/>
      <c r="T98" s="16"/>
      <c r="U98" s="16"/>
      <c r="V98" s="16"/>
      <c r="W98" s="16"/>
      <c r="X98" s="16"/>
      <c r="Y98" s="16"/>
      <c r="Z98" s="16"/>
      <c r="AA98" s="16"/>
      <c r="AB98" s="16"/>
      <c r="AC98" s="16"/>
      <c r="AD98" s="16"/>
      <c r="AE98" s="16"/>
      <c r="AF98" s="16"/>
      <c r="AG98" s="16"/>
      <c r="AH98" s="16"/>
      <c r="AI98" s="16"/>
      <c r="AJ98" s="16"/>
    </row>
    <row r="99" spans="2:36" x14ac:dyDescent="0.3">
      <c r="B99" s="42">
        <v>44835</v>
      </c>
      <c r="C99" s="38">
        <v>316</v>
      </c>
      <c r="D99" s="38">
        <v>532</v>
      </c>
      <c r="E99" s="38">
        <v>532</v>
      </c>
      <c r="F99" s="35"/>
      <c r="G99" s="38">
        <v>418</v>
      </c>
      <c r="H99" s="38">
        <v>513</v>
      </c>
      <c r="I99" s="38">
        <v>316</v>
      </c>
      <c r="J99" s="16"/>
      <c r="K99" s="16"/>
      <c r="L99" s="16"/>
      <c r="M99" s="16"/>
      <c r="N99" s="16"/>
      <c r="O99" s="16"/>
      <c r="P99" s="16"/>
      <c r="Q99" s="16"/>
      <c r="R99" s="16"/>
      <c r="S99" s="16"/>
      <c r="T99" s="16"/>
      <c r="U99" s="16"/>
      <c r="V99" s="16"/>
      <c r="W99" s="16"/>
      <c r="X99" s="16"/>
      <c r="Y99" s="16"/>
      <c r="Z99" s="16"/>
      <c r="AA99" s="16"/>
      <c r="AB99" s="16"/>
      <c r="AC99" s="16"/>
      <c r="AD99" s="16"/>
      <c r="AE99" s="16"/>
      <c r="AF99" s="16"/>
      <c r="AG99" s="16"/>
      <c r="AH99" s="16"/>
      <c r="AI99" s="16"/>
      <c r="AJ99" s="16"/>
    </row>
    <row r="100" spans="2:36" x14ac:dyDescent="0.3">
      <c r="B100" s="41">
        <v>44866</v>
      </c>
      <c r="C100" s="36">
        <v>316</v>
      </c>
      <c r="D100" s="36">
        <v>532</v>
      </c>
      <c r="E100" s="36">
        <v>532</v>
      </c>
      <c r="F100" s="35"/>
      <c r="G100" s="36">
        <v>418</v>
      </c>
      <c r="H100" s="36">
        <v>513</v>
      </c>
      <c r="I100" s="36">
        <v>316</v>
      </c>
      <c r="J100" s="16"/>
      <c r="K100" s="16"/>
      <c r="L100" s="16"/>
      <c r="M100" s="16"/>
      <c r="N100" s="16"/>
      <c r="O100" s="16"/>
      <c r="P100" s="16"/>
      <c r="Q100" s="16"/>
      <c r="R100" s="16"/>
      <c r="S100" s="16"/>
      <c r="T100" s="16"/>
      <c r="U100" s="16"/>
      <c r="V100" s="16"/>
      <c r="W100" s="16"/>
      <c r="X100" s="16"/>
      <c r="Y100" s="16"/>
      <c r="Z100" s="16"/>
      <c r="AA100" s="16"/>
      <c r="AB100" s="16"/>
      <c r="AC100" s="16"/>
      <c r="AD100" s="16"/>
      <c r="AE100" s="16"/>
      <c r="AF100" s="16"/>
      <c r="AG100" s="16"/>
      <c r="AH100" s="16"/>
      <c r="AI100" s="16"/>
      <c r="AJ100" s="16"/>
    </row>
    <row r="101" spans="2:36" x14ac:dyDescent="0.3">
      <c r="B101" s="42">
        <v>44896</v>
      </c>
      <c r="C101" s="38">
        <v>316</v>
      </c>
      <c r="D101" s="38">
        <v>532</v>
      </c>
      <c r="E101" s="38">
        <v>532</v>
      </c>
      <c r="F101" s="35"/>
      <c r="G101" s="38">
        <v>418</v>
      </c>
      <c r="H101" s="38">
        <v>513</v>
      </c>
      <c r="I101" s="38">
        <v>316</v>
      </c>
      <c r="J101" s="16"/>
      <c r="K101" s="16"/>
      <c r="L101" s="16"/>
      <c r="M101" s="16"/>
      <c r="N101" s="16"/>
      <c r="O101" s="16"/>
      <c r="P101" s="16"/>
      <c r="Q101" s="16"/>
      <c r="R101" s="16"/>
      <c r="S101" s="16"/>
      <c r="T101" s="16"/>
      <c r="U101" s="16"/>
      <c r="V101" s="16"/>
      <c r="W101" s="16"/>
      <c r="X101" s="16"/>
      <c r="Y101" s="16"/>
      <c r="Z101" s="16"/>
      <c r="AA101" s="16"/>
      <c r="AB101" s="16"/>
      <c r="AC101" s="16"/>
      <c r="AD101" s="16"/>
      <c r="AE101" s="16"/>
      <c r="AF101" s="16"/>
      <c r="AG101" s="16"/>
      <c r="AH101" s="16"/>
      <c r="AI101" s="16"/>
      <c r="AJ101" s="16"/>
    </row>
    <row r="102" spans="2:36" x14ac:dyDescent="0.3">
      <c r="B102" s="41">
        <v>44927</v>
      </c>
      <c r="C102" s="36">
        <v>330</v>
      </c>
      <c r="D102" s="36">
        <v>570</v>
      </c>
      <c r="E102" s="36">
        <v>570</v>
      </c>
      <c r="F102" s="35"/>
      <c r="G102" s="36">
        <v>435</v>
      </c>
      <c r="H102" s="36">
        <v>545</v>
      </c>
      <c r="I102" s="36">
        <v>330</v>
      </c>
      <c r="J102" s="16"/>
      <c r="K102" s="16"/>
      <c r="L102" s="16"/>
      <c r="M102" s="16"/>
      <c r="N102" s="16"/>
      <c r="O102" s="16"/>
      <c r="P102" s="16"/>
      <c r="Q102" s="16"/>
      <c r="R102" s="16"/>
      <c r="S102" s="16"/>
      <c r="T102" s="16"/>
      <c r="U102" s="16"/>
      <c r="V102" s="16"/>
      <c r="W102" s="16"/>
      <c r="X102" s="16"/>
      <c r="Y102" s="16"/>
      <c r="Z102" s="16"/>
      <c r="AA102" s="16"/>
      <c r="AB102" s="16"/>
      <c r="AC102" s="16"/>
      <c r="AD102" s="16"/>
      <c r="AE102" s="16"/>
      <c r="AF102" s="16"/>
      <c r="AG102" s="16"/>
      <c r="AH102" s="16"/>
      <c r="AI102" s="16"/>
      <c r="AJ102" s="16"/>
    </row>
    <row r="103" spans="2:36" x14ac:dyDescent="0.3">
      <c r="B103" s="42">
        <v>44958</v>
      </c>
      <c r="C103" s="38">
        <v>330</v>
      </c>
      <c r="D103" s="38">
        <v>570</v>
      </c>
      <c r="E103" s="38">
        <v>570</v>
      </c>
      <c r="F103" s="35"/>
      <c r="G103" s="38">
        <v>435</v>
      </c>
      <c r="H103" s="38">
        <v>545</v>
      </c>
      <c r="I103" s="38">
        <v>330</v>
      </c>
      <c r="J103" s="16"/>
      <c r="K103" s="16"/>
      <c r="L103" s="16"/>
      <c r="M103" s="16"/>
      <c r="N103" s="16"/>
      <c r="O103" s="16"/>
      <c r="P103" s="16"/>
      <c r="Q103" s="16"/>
      <c r="R103" s="16"/>
      <c r="S103" s="16"/>
      <c r="T103" s="16"/>
      <c r="U103" s="16"/>
      <c r="V103" s="16"/>
      <c r="W103" s="16"/>
      <c r="X103" s="16"/>
      <c r="Y103" s="16"/>
      <c r="Z103" s="16"/>
      <c r="AA103" s="16"/>
      <c r="AB103" s="16"/>
      <c r="AC103" s="16"/>
      <c r="AD103" s="16"/>
      <c r="AE103" s="16"/>
      <c r="AF103" s="16"/>
      <c r="AG103" s="16"/>
      <c r="AH103" s="16"/>
      <c r="AI103" s="16"/>
      <c r="AJ103" s="16"/>
    </row>
    <row r="104" spans="2:36" x14ac:dyDescent="0.3">
      <c r="B104" s="41">
        <v>44986</v>
      </c>
      <c r="C104" s="36">
        <v>330</v>
      </c>
      <c r="D104" s="36">
        <v>570</v>
      </c>
      <c r="E104" s="36">
        <v>570</v>
      </c>
      <c r="F104" s="35"/>
      <c r="G104" s="36">
        <v>435</v>
      </c>
      <c r="H104" s="36">
        <v>545</v>
      </c>
      <c r="I104" s="36">
        <v>330</v>
      </c>
      <c r="J104" s="16"/>
      <c r="K104" s="16"/>
      <c r="L104" s="16"/>
      <c r="M104" s="16"/>
      <c r="N104" s="16"/>
      <c r="O104" s="16"/>
      <c r="P104" s="16"/>
      <c r="Q104" s="16"/>
      <c r="R104" s="16"/>
      <c r="S104" s="16"/>
      <c r="T104" s="16"/>
      <c r="U104" s="16"/>
      <c r="V104" s="16"/>
      <c r="W104" s="16"/>
      <c r="X104" s="16"/>
      <c r="Y104" s="16"/>
      <c r="Z104" s="16"/>
      <c r="AA104" s="16"/>
      <c r="AB104" s="16"/>
      <c r="AC104" s="16"/>
      <c r="AD104" s="16"/>
      <c r="AE104" s="16"/>
      <c r="AF104" s="16"/>
      <c r="AG104" s="16"/>
      <c r="AH104" s="16"/>
      <c r="AI104" s="16"/>
      <c r="AJ104" s="16"/>
    </row>
    <row r="105" spans="2:36" x14ac:dyDescent="0.3">
      <c r="B105" s="42">
        <v>45017</v>
      </c>
      <c r="C105" s="38">
        <v>333</v>
      </c>
      <c r="D105" s="38">
        <v>574</v>
      </c>
      <c r="E105" s="38">
        <v>574</v>
      </c>
      <c r="F105" s="35"/>
      <c r="G105" s="38">
        <v>440</v>
      </c>
      <c r="H105" s="38">
        <v>557</v>
      </c>
      <c r="I105" s="38">
        <v>333</v>
      </c>
      <c r="J105" s="16"/>
      <c r="K105" s="16"/>
      <c r="L105" s="16"/>
      <c r="M105" s="16"/>
      <c r="N105" s="16"/>
      <c r="O105" s="16"/>
      <c r="P105" s="16"/>
      <c r="Q105" s="16"/>
      <c r="R105" s="16"/>
      <c r="S105" s="16"/>
      <c r="T105" s="16"/>
      <c r="U105" s="16"/>
      <c r="V105" s="16"/>
      <c r="W105" s="16"/>
      <c r="X105" s="16"/>
      <c r="Y105" s="16"/>
      <c r="Z105" s="16"/>
      <c r="AA105" s="16"/>
      <c r="AB105" s="16"/>
      <c r="AC105" s="16"/>
      <c r="AD105" s="16"/>
      <c r="AE105" s="16"/>
      <c r="AF105" s="16"/>
      <c r="AG105" s="16"/>
      <c r="AH105" s="16"/>
      <c r="AI105" s="16"/>
      <c r="AJ105" s="16"/>
    </row>
    <row r="106" spans="2:36" x14ac:dyDescent="0.3">
      <c r="B106" s="41">
        <v>45047</v>
      </c>
      <c r="C106" s="36">
        <v>333</v>
      </c>
      <c r="D106" s="36">
        <v>574</v>
      </c>
      <c r="E106" s="36">
        <v>574</v>
      </c>
      <c r="F106" s="35"/>
      <c r="G106" s="36">
        <v>440</v>
      </c>
      <c r="H106" s="36">
        <v>557</v>
      </c>
      <c r="I106" s="36">
        <v>333</v>
      </c>
      <c r="J106" s="16"/>
      <c r="K106" s="16"/>
      <c r="L106" s="16"/>
      <c r="M106" s="16"/>
      <c r="N106" s="16"/>
      <c r="O106" s="16"/>
      <c r="P106" s="16"/>
      <c r="Q106" s="16"/>
      <c r="R106" s="16"/>
      <c r="S106" s="16"/>
      <c r="T106" s="16"/>
      <c r="U106" s="16"/>
      <c r="V106" s="16"/>
      <c r="W106" s="16"/>
      <c r="X106" s="16"/>
      <c r="Y106" s="16"/>
      <c r="Z106" s="16"/>
      <c r="AA106" s="16"/>
      <c r="AB106" s="16"/>
      <c r="AC106" s="16"/>
      <c r="AD106" s="16"/>
      <c r="AE106" s="16"/>
      <c r="AF106" s="16"/>
      <c r="AG106" s="16"/>
      <c r="AH106" s="16"/>
      <c r="AI106" s="16"/>
      <c r="AJ106" s="16"/>
    </row>
    <row r="107" spans="2:36" x14ac:dyDescent="0.3">
      <c r="B107" s="42">
        <v>45078</v>
      </c>
      <c r="C107" s="38">
        <v>333</v>
      </c>
      <c r="D107" s="38">
        <v>574</v>
      </c>
      <c r="E107" s="38">
        <v>574</v>
      </c>
      <c r="F107" s="35"/>
      <c r="G107" s="38">
        <v>440</v>
      </c>
      <c r="H107" s="38">
        <v>557</v>
      </c>
      <c r="I107" s="38">
        <v>333</v>
      </c>
      <c r="J107" s="16"/>
      <c r="K107" s="16"/>
      <c r="L107" s="16"/>
      <c r="M107" s="16"/>
      <c r="N107" s="16"/>
      <c r="O107" s="16"/>
      <c r="P107" s="16"/>
      <c r="Q107" s="16"/>
      <c r="R107" s="16"/>
      <c r="S107" s="16"/>
      <c r="T107" s="16"/>
      <c r="U107" s="16"/>
      <c r="V107" s="16"/>
      <c r="W107" s="16"/>
      <c r="X107" s="16"/>
      <c r="Y107" s="16"/>
      <c r="Z107" s="16"/>
      <c r="AA107" s="16"/>
      <c r="AB107" s="16"/>
      <c r="AC107" s="16"/>
      <c r="AD107" s="16"/>
      <c r="AE107" s="16"/>
      <c r="AF107" s="16"/>
      <c r="AG107" s="16"/>
      <c r="AH107" s="16"/>
      <c r="AI107" s="16"/>
      <c r="AJ107" s="16"/>
    </row>
    <row r="108" spans="2:36" x14ac:dyDescent="0.3">
      <c r="B108" s="41">
        <v>45108</v>
      </c>
      <c r="C108" s="36">
        <v>348</v>
      </c>
      <c r="D108" s="36">
        <v>612</v>
      </c>
      <c r="E108" s="36">
        <v>612</v>
      </c>
      <c r="F108" s="35"/>
      <c r="G108" s="36">
        <v>458</v>
      </c>
      <c r="H108" s="36">
        <v>597</v>
      </c>
      <c r="I108" s="36">
        <v>348</v>
      </c>
      <c r="J108" s="16"/>
      <c r="K108" s="16"/>
      <c r="L108" s="16"/>
      <c r="M108" s="16"/>
      <c r="N108" s="16"/>
      <c r="O108" s="16"/>
      <c r="P108" s="16"/>
      <c r="Q108" s="16"/>
      <c r="R108" s="16"/>
      <c r="S108" s="16"/>
      <c r="T108" s="16"/>
      <c r="U108" s="16"/>
      <c r="V108" s="16"/>
      <c r="W108" s="16"/>
      <c r="X108" s="16"/>
      <c r="Y108" s="16"/>
      <c r="Z108" s="16"/>
      <c r="AA108" s="16"/>
      <c r="AB108" s="16"/>
      <c r="AC108" s="16"/>
      <c r="AD108" s="16"/>
      <c r="AE108" s="16"/>
      <c r="AF108" s="16"/>
      <c r="AG108" s="16"/>
      <c r="AH108" s="16"/>
      <c r="AI108" s="16"/>
      <c r="AJ108" s="16"/>
    </row>
    <row r="109" spans="2:36" x14ac:dyDescent="0.3">
      <c r="B109" s="42">
        <v>45139</v>
      </c>
      <c r="C109" s="38">
        <v>348</v>
      </c>
      <c r="D109" s="38">
        <v>612</v>
      </c>
      <c r="E109" s="38">
        <v>612</v>
      </c>
      <c r="F109" s="35"/>
      <c r="G109" s="38">
        <v>458</v>
      </c>
      <c r="H109" s="38">
        <v>597</v>
      </c>
      <c r="I109" s="38">
        <v>348</v>
      </c>
      <c r="J109" s="16"/>
      <c r="K109" s="16"/>
      <c r="L109" s="16"/>
      <c r="M109" s="16"/>
      <c r="N109" s="16"/>
      <c r="O109" s="16"/>
      <c r="P109" s="16"/>
      <c r="Q109" s="16"/>
      <c r="R109" s="16"/>
      <c r="S109" s="16"/>
      <c r="T109" s="16"/>
      <c r="U109" s="16"/>
      <c r="V109" s="16"/>
      <c r="W109" s="16"/>
      <c r="X109" s="16"/>
      <c r="Y109" s="16"/>
      <c r="Z109" s="16"/>
      <c r="AA109" s="16"/>
      <c r="AB109" s="16"/>
      <c r="AC109" s="16"/>
      <c r="AD109" s="16"/>
      <c r="AE109" s="16"/>
      <c r="AF109" s="16"/>
      <c r="AG109" s="16"/>
      <c r="AH109" s="16"/>
      <c r="AI109" s="16"/>
      <c r="AJ109" s="16"/>
    </row>
    <row r="110" spans="2:36" x14ac:dyDescent="0.3">
      <c r="B110" s="41">
        <v>45170</v>
      </c>
      <c r="C110" s="36">
        <v>348</v>
      </c>
      <c r="D110" s="36">
        <v>612</v>
      </c>
      <c r="E110" s="36">
        <v>612</v>
      </c>
      <c r="F110" s="35"/>
      <c r="G110" s="36">
        <v>458</v>
      </c>
      <c r="H110" s="36">
        <v>597</v>
      </c>
      <c r="I110" s="36">
        <v>348</v>
      </c>
      <c r="J110" s="16"/>
      <c r="K110" s="16"/>
      <c r="L110" s="16"/>
      <c r="M110" s="16"/>
      <c r="N110" s="16"/>
      <c r="O110" s="16"/>
      <c r="P110" s="16"/>
      <c r="Q110" s="16"/>
      <c r="R110" s="16"/>
      <c r="S110" s="16"/>
      <c r="T110" s="16"/>
      <c r="U110" s="16"/>
      <c r="V110" s="16"/>
      <c r="W110" s="16"/>
      <c r="X110" s="16"/>
      <c r="Y110" s="16"/>
      <c r="Z110" s="16"/>
      <c r="AA110" s="16"/>
      <c r="AB110" s="16"/>
      <c r="AC110" s="16"/>
      <c r="AD110" s="16"/>
      <c r="AE110" s="16"/>
      <c r="AF110" s="16"/>
      <c r="AG110" s="16"/>
      <c r="AH110" s="16"/>
      <c r="AI110" s="16"/>
      <c r="AJ110" s="16"/>
    </row>
    <row r="111" spans="2:36" x14ac:dyDescent="0.3">
      <c r="B111" s="42">
        <v>45200</v>
      </c>
      <c r="C111" s="38">
        <v>344</v>
      </c>
      <c r="D111" s="38">
        <v>580</v>
      </c>
      <c r="E111" s="38">
        <v>580</v>
      </c>
      <c r="F111" s="35"/>
      <c r="G111" s="38">
        <v>454</v>
      </c>
      <c r="H111" s="38">
        <v>560</v>
      </c>
      <c r="I111" s="38">
        <v>344</v>
      </c>
      <c r="J111" s="16"/>
      <c r="K111" s="16"/>
      <c r="L111" s="16"/>
      <c r="M111" s="16"/>
      <c r="N111" s="16"/>
      <c r="O111" s="16"/>
      <c r="P111" s="16"/>
      <c r="Q111" s="16"/>
      <c r="R111" s="16"/>
      <c r="S111" s="16"/>
      <c r="T111" s="16"/>
      <c r="U111" s="16"/>
      <c r="V111" s="16"/>
      <c r="W111" s="16"/>
      <c r="X111" s="16"/>
      <c r="Y111" s="16"/>
      <c r="Z111" s="16"/>
      <c r="AA111" s="16"/>
      <c r="AB111" s="16"/>
      <c r="AC111" s="16"/>
      <c r="AD111" s="16"/>
      <c r="AE111" s="16"/>
      <c r="AF111" s="16"/>
      <c r="AG111" s="16"/>
      <c r="AH111" s="16"/>
      <c r="AI111" s="16"/>
      <c r="AJ111" s="16"/>
    </row>
    <row r="112" spans="2:36" x14ac:dyDescent="0.3">
      <c r="B112" s="41">
        <v>45231</v>
      </c>
      <c r="C112" s="36">
        <v>344</v>
      </c>
      <c r="D112" s="36">
        <v>580</v>
      </c>
      <c r="E112" s="36">
        <v>580</v>
      </c>
      <c r="F112" s="35"/>
      <c r="G112" s="36">
        <v>454</v>
      </c>
      <c r="H112" s="36">
        <v>560</v>
      </c>
      <c r="I112" s="36">
        <v>344</v>
      </c>
      <c r="J112" s="16"/>
      <c r="K112" s="16"/>
      <c r="L112" s="16"/>
      <c r="M112" s="16"/>
      <c r="N112" s="16"/>
      <c r="O112" s="16"/>
      <c r="P112" s="16"/>
      <c r="Q112" s="16"/>
      <c r="R112" s="16"/>
      <c r="S112" s="16"/>
      <c r="T112" s="16"/>
      <c r="U112" s="16"/>
      <c r="V112" s="16"/>
      <c r="W112" s="16"/>
      <c r="X112" s="16"/>
      <c r="Y112" s="16"/>
      <c r="Z112" s="16"/>
      <c r="AA112" s="16"/>
      <c r="AB112" s="16"/>
      <c r="AC112" s="16"/>
      <c r="AD112" s="16"/>
      <c r="AE112" s="16"/>
      <c r="AF112" s="16"/>
      <c r="AG112" s="16"/>
      <c r="AH112" s="16"/>
      <c r="AI112" s="16"/>
      <c r="AJ112" s="16"/>
    </row>
    <row r="113" spans="2:36" x14ac:dyDescent="0.3">
      <c r="B113" s="42">
        <v>45261</v>
      </c>
      <c r="C113" s="38">
        <v>344</v>
      </c>
      <c r="D113" s="38">
        <v>580</v>
      </c>
      <c r="E113" s="38">
        <v>580</v>
      </c>
      <c r="F113" s="35"/>
      <c r="G113" s="38">
        <v>454</v>
      </c>
      <c r="H113" s="38">
        <v>560</v>
      </c>
      <c r="I113" s="38">
        <v>344</v>
      </c>
      <c r="J113" s="16"/>
      <c r="K113" s="16"/>
      <c r="L113" s="16"/>
      <c r="M113" s="16"/>
      <c r="N113" s="16"/>
      <c r="O113" s="16"/>
      <c r="P113" s="16"/>
      <c r="Q113" s="16"/>
      <c r="R113" s="16"/>
      <c r="S113" s="16"/>
      <c r="T113" s="16"/>
      <c r="U113" s="16"/>
      <c r="V113" s="16"/>
      <c r="W113" s="16"/>
      <c r="X113" s="16"/>
      <c r="Y113" s="16"/>
      <c r="Z113" s="16"/>
      <c r="AA113" s="16"/>
      <c r="AB113" s="16"/>
      <c r="AC113" s="16"/>
      <c r="AD113" s="16"/>
      <c r="AE113" s="16"/>
      <c r="AF113" s="16"/>
      <c r="AG113" s="16"/>
      <c r="AH113" s="16"/>
      <c r="AI113" s="16"/>
      <c r="AJ113" s="16"/>
    </row>
    <row r="114" spans="2:36" x14ac:dyDescent="0.3">
      <c r="B114" s="41">
        <v>45292</v>
      </c>
      <c r="C114" s="36">
        <v>342</v>
      </c>
      <c r="D114" s="36">
        <v>578</v>
      </c>
      <c r="E114" s="36">
        <v>578</v>
      </c>
      <c r="F114" s="35"/>
      <c r="G114" s="36">
        <v>453</v>
      </c>
      <c r="H114" s="36">
        <v>559</v>
      </c>
      <c r="I114" s="36">
        <v>342</v>
      </c>
      <c r="J114" s="16"/>
      <c r="K114" s="16"/>
      <c r="L114" s="16"/>
      <c r="M114" s="16"/>
      <c r="N114" s="16"/>
      <c r="O114" s="16"/>
      <c r="P114" s="16"/>
      <c r="Q114" s="16"/>
      <c r="R114" s="16"/>
      <c r="S114" s="16"/>
      <c r="T114" s="16"/>
      <c r="U114" s="16"/>
      <c r="V114" s="16"/>
      <c r="W114" s="16"/>
      <c r="X114" s="16"/>
      <c r="Y114" s="16"/>
      <c r="Z114" s="16"/>
      <c r="AA114" s="16"/>
      <c r="AB114" s="16"/>
      <c r="AC114" s="16"/>
      <c r="AD114" s="16"/>
      <c r="AE114" s="16"/>
      <c r="AF114" s="16"/>
      <c r="AG114" s="16"/>
      <c r="AH114" s="16"/>
      <c r="AI114" s="16"/>
      <c r="AJ114" s="16"/>
    </row>
    <row r="115" spans="2:36" x14ac:dyDescent="0.3">
      <c r="B115" s="42">
        <v>45323</v>
      </c>
      <c r="C115" s="38">
        <v>342</v>
      </c>
      <c r="D115" s="38">
        <v>578</v>
      </c>
      <c r="E115" s="38">
        <v>578</v>
      </c>
      <c r="F115" s="35"/>
      <c r="G115" s="38">
        <v>453</v>
      </c>
      <c r="H115" s="38">
        <v>559</v>
      </c>
      <c r="I115" s="38">
        <v>342</v>
      </c>
      <c r="J115" s="16"/>
      <c r="K115" s="16"/>
      <c r="L115" s="16"/>
      <c r="M115" s="16"/>
      <c r="N115" s="16"/>
      <c r="O115" s="16"/>
      <c r="P115" s="16"/>
      <c r="Q115" s="16"/>
      <c r="R115" s="16"/>
      <c r="S115" s="16"/>
      <c r="T115" s="16"/>
      <c r="U115" s="16"/>
      <c r="V115" s="16"/>
      <c r="W115" s="16"/>
      <c r="X115" s="16"/>
      <c r="Y115" s="16"/>
      <c r="Z115" s="16"/>
      <c r="AA115" s="16"/>
      <c r="AB115" s="16"/>
      <c r="AC115" s="16"/>
      <c r="AD115" s="16"/>
      <c r="AE115" s="16"/>
      <c r="AF115" s="16"/>
      <c r="AG115" s="16"/>
      <c r="AH115" s="16"/>
      <c r="AI115" s="16"/>
      <c r="AJ115" s="16"/>
    </row>
    <row r="116" spans="2:36" x14ac:dyDescent="0.3">
      <c r="B116" s="41">
        <v>45352</v>
      </c>
      <c r="C116" s="36">
        <v>342</v>
      </c>
      <c r="D116" s="36">
        <v>578</v>
      </c>
      <c r="E116" s="36">
        <v>578</v>
      </c>
      <c r="F116" s="35"/>
      <c r="G116" s="36">
        <v>453</v>
      </c>
      <c r="H116" s="36">
        <v>559</v>
      </c>
      <c r="I116" s="36">
        <v>342</v>
      </c>
      <c r="J116" s="16"/>
      <c r="K116" s="16"/>
      <c r="L116" s="16"/>
      <c r="M116" s="16"/>
      <c r="N116" s="16"/>
      <c r="O116" s="16"/>
      <c r="P116" s="16"/>
      <c r="Q116" s="16"/>
      <c r="R116" s="16"/>
      <c r="S116" s="16"/>
      <c r="T116" s="16"/>
      <c r="U116" s="16"/>
      <c r="V116" s="16"/>
      <c r="W116" s="16"/>
      <c r="X116" s="16"/>
      <c r="Y116" s="16"/>
      <c r="Z116" s="16"/>
      <c r="AA116" s="16"/>
      <c r="AB116" s="16"/>
      <c r="AC116" s="16"/>
      <c r="AD116" s="16"/>
      <c r="AE116" s="16"/>
      <c r="AF116" s="16"/>
      <c r="AG116" s="16"/>
      <c r="AH116" s="16"/>
      <c r="AI116" s="16"/>
      <c r="AJ116" s="16"/>
    </row>
    <row r="117" spans="2:36" x14ac:dyDescent="0.3">
      <c r="B117" s="42">
        <v>45383</v>
      </c>
      <c r="C117" s="38">
        <v>352</v>
      </c>
      <c r="D117" s="38">
        <v>608</v>
      </c>
      <c r="E117" s="38">
        <v>608</v>
      </c>
      <c r="G117" s="38">
        <v>464</v>
      </c>
      <c r="H117" s="38">
        <v>592</v>
      </c>
      <c r="I117" s="38">
        <v>352</v>
      </c>
    </row>
    <row r="118" spans="2:36" x14ac:dyDescent="0.3">
      <c r="B118" s="41">
        <v>45413</v>
      </c>
      <c r="C118" s="36">
        <v>352</v>
      </c>
      <c r="D118" s="36">
        <v>608</v>
      </c>
      <c r="E118" s="36">
        <v>608</v>
      </c>
      <c r="F118" s="35"/>
      <c r="G118" s="36">
        <v>464</v>
      </c>
      <c r="H118" s="36">
        <v>592</v>
      </c>
      <c r="I118" s="36">
        <v>352</v>
      </c>
    </row>
    <row r="119" spans="2:36" x14ac:dyDescent="0.3">
      <c r="B119" s="42">
        <v>45444</v>
      </c>
      <c r="C119" s="38">
        <v>352</v>
      </c>
      <c r="D119" s="38">
        <v>608</v>
      </c>
      <c r="E119" s="38">
        <v>608</v>
      </c>
      <c r="F119" s="35"/>
      <c r="G119" s="38">
        <v>464</v>
      </c>
      <c r="H119" s="38">
        <v>592</v>
      </c>
      <c r="I119" s="38">
        <v>352</v>
      </c>
    </row>
    <row r="120" spans="2:36" x14ac:dyDescent="0.3">
      <c r="B120" s="41">
        <v>45474</v>
      </c>
      <c r="C120" s="36">
        <v>342</v>
      </c>
      <c r="D120" s="36">
        <v>574</v>
      </c>
      <c r="E120" s="36">
        <v>574</v>
      </c>
      <c r="F120" s="35"/>
      <c r="G120" s="36">
        <v>453</v>
      </c>
      <c r="H120" s="36">
        <v>547</v>
      </c>
      <c r="I120" s="36">
        <v>342</v>
      </c>
    </row>
    <row r="121" spans="2:36" x14ac:dyDescent="0.3">
      <c r="B121" s="42">
        <v>45505</v>
      </c>
      <c r="C121" s="38">
        <v>342</v>
      </c>
      <c r="D121" s="38">
        <v>574</v>
      </c>
      <c r="E121" s="38">
        <v>574</v>
      </c>
      <c r="F121" s="35"/>
      <c r="G121" s="38">
        <v>453</v>
      </c>
      <c r="H121" s="38">
        <v>547</v>
      </c>
      <c r="I121" s="38">
        <v>342</v>
      </c>
    </row>
    <row r="122" spans="2:36" x14ac:dyDescent="0.3">
      <c r="B122" s="41">
        <v>45536</v>
      </c>
      <c r="C122" s="36">
        <v>342</v>
      </c>
      <c r="D122" s="36">
        <v>574</v>
      </c>
      <c r="E122" s="36">
        <v>574</v>
      </c>
      <c r="F122" s="35"/>
      <c r="G122" s="36">
        <v>453</v>
      </c>
      <c r="H122" s="36">
        <v>547</v>
      </c>
      <c r="I122" s="36">
        <v>342</v>
      </c>
    </row>
    <row r="123" spans="2:36" x14ac:dyDescent="0.3">
      <c r="B123" s="42">
        <v>45566</v>
      </c>
      <c r="C123" s="38">
        <v>341</v>
      </c>
      <c r="D123" s="38">
        <v>564</v>
      </c>
      <c r="E123" s="38">
        <v>564</v>
      </c>
      <c r="F123" s="35"/>
      <c r="G123" s="38">
        <v>453</v>
      </c>
      <c r="H123" s="38">
        <v>540</v>
      </c>
      <c r="I123" s="38">
        <v>341</v>
      </c>
    </row>
    <row r="124" spans="2:36" x14ac:dyDescent="0.3">
      <c r="B124" s="41">
        <v>45597</v>
      </c>
      <c r="C124" s="36">
        <v>341</v>
      </c>
      <c r="D124" s="36">
        <v>564</v>
      </c>
      <c r="E124" s="36">
        <v>564</v>
      </c>
      <c r="F124" s="35"/>
      <c r="G124" s="36">
        <v>453</v>
      </c>
      <c r="H124" s="36">
        <v>540</v>
      </c>
      <c r="I124" s="36">
        <v>341</v>
      </c>
    </row>
    <row r="125" spans="2:36" x14ac:dyDescent="0.3">
      <c r="B125" s="42">
        <v>45627</v>
      </c>
      <c r="C125" s="38">
        <v>341</v>
      </c>
      <c r="D125" s="38">
        <v>564</v>
      </c>
      <c r="E125" s="38">
        <v>564</v>
      </c>
      <c r="F125" s="35"/>
      <c r="G125" s="38">
        <v>453</v>
      </c>
      <c r="H125" s="38">
        <v>540</v>
      </c>
      <c r="I125" s="38">
        <v>341</v>
      </c>
    </row>
    <row r="126" spans="2:36" x14ac:dyDescent="0.3">
      <c r="B126" s="41">
        <v>45658</v>
      </c>
      <c r="C126" s="36">
        <v>337</v>
      </c>
      <c r="D126" s="36">
        <v>546</v>
      </c>
      <c r="E126" s="36">
        <v>546</v>
      </c>
      <c r="F126" s="35"/>
      <c r="G126" s="36">
        <v>447</v>
      </c>
      <c r="H126" s="36">
        <v>517</v>
      </c>
      <c r="I126" s="36">
        <v>336</v>
      </c>
    </row>
    <row r="127" spans="2:36" x14ac:dyDescent="0.3">
      <c r="B127" s="42">
        <v>45689</v>
      </c>
      <c r="C127" s="38">
        <v>337</v>
      </c>
      <c r="D127" s="38">
        <v>546</v>
      </c>
      <c r="E127" s="38">
        <v>546</v>
      </c>
      <c r="F127" s="35"/>
      <c r="G127" s="38">
        <v>447</v>
      </c>
      <c r="H127" s="38">
        <v>517</v>
      </c>
      <c r="I127" s="38">
        <v>336</v>
      </c>
    </row>
    <row r="128" spans="2:36" x14ac:dyDescent="0.3">
      <c r="B128" s="41">
        <v>45717</v>
      </c>
      <c r="C128" s="36">
        <v>337</v>
      </c>
      <c r="D128" s="36">
        <v>546</v>
      </c>
      <c r="E128" s="36">
        <v>546</v>
      </c>
      <c r="F128" s="35"/>
      <c r="G128" s="36">
        <v>447</v>
      </c>
      <c r="H128" s="36">
        <v>517</v>
      </c>
      <c r="I128" s="36">
        <v>336</v>
      </c>
    </row>
    <row r="130" spans="1:36" x14ac:dyDescent="0.3">
      <c r="A130" s="16" t="s">
        <v>54</v>
      </c>
      <c r="B130" s="16"/>
      <c r="C130" s="24"/>
      <c r="D130" s="24"/>
      <c r="E130" s="24"/>
      <c r="F130" s="16"/>
      <c r="G130" s="16"/>
      <c r="H130" s="16"/>
      <c r="I130" s="16"/>
      <c r="J130" s="16"/>
      <c r="K130" s="16"/>
      <c r="L130" s="16"/>
      <c r="M130" s="16"/>
      <c r="N130" s="16"/>
      <c r="O130" s="16"/>
      <c r="P130" s="16"/>
      <c r="Q130" s="16"/>
      <c r="R130" s="16"/>
      <c r="S130" s="16"/>
      <c r="T130" s="16"/>
      <c r="U130" s="16"/>
      <c r="V130" s="16"/>
      <c r="W130" s="16"/>
      <c r="X130" s="16"/>
      <c r="Y130" s="16"/>
      <c r="Z130" s="16"/>
      <c r="AA130" s="16"/>
      <c r="AB130" s="16"/>
      <c r="AC130" s="16"/>
      <c r="AD130" s="16"/>
      <c r="AE130" s="16"/>
      <c r="AF130" s="16"/>
      <c r="AG130" s="16"/>
      <c r="AH130" s="16"/>
      <c r="AI130" s="16"/>
      <c r="AJ130" s="16"/>
    </row>
    <row r="131" spans="1:36" x14ac:dyDescent="0.3">
      <c r="A131" s="16" t="s">
        <v>55</v>
      </c>
      <c r="B131" s="16"/>
      <c r="C131" s="24"/>
      <c r="D131" s="24"/>
      <c r="E131" s="24"/>
      <c r="F131" s="16"/>
      <c r="G131" s="16"/>
      <c r="H131" s="16"/>
      <c r="I131" s="16"/>
      <c r="J131" s="16"/>
      <c r="K131" s="16"/>
      <c r="L131" s="16"/>
      <c r="M131" s="16"/>
      <c r="N131" s="16"/>
      <c r="O131" s="16"/>
      <c r="P131" s="16"/>
      <c r="Q131" s="16"/>
      <c r="R131" s="16"/>
      <c r="S131" s="16"/>
      <c r="T131" s="16"/>
      <c r="U131" s="16"/>
      <c r="V131" s="16"/>
      <c r="W131" s="16"/>
      <c r="X131" s="16"/>
      <c r="Y131" s="16"/>
      <c r="Z131" s="16"/>
      <c r="AA131" s="16"/>
      <c r="AB131" s="16"/>
      <c r="AC131" s="16"/>
      <c r="AD131" s="16"/>
      <c r="AE131" s="16"/>
      <c r="AF131" s="16"/>
      <c r="AG131" s="16"/>
      <c r="AH131" s="16"/>
      <c r="AI131" s="16"/>
      <c r="AJ131" s="16"/>
    </row>
    <row r="132" spans="1:36" x14ac:dyDescent="0.3">
      <c r="B132" s="16"/>
      <c r="C132" s="24"/>
      <c r="D132" s="24"/>
      <c r="E132" s="24"/>
      <c r="F132" s="16"/>
      <c r="G132" s="16"/>
      <c r="H132" s="16"/>
      <c r="I132" s="16"/>
      <c r="J132" s="16"/>
      <c r="K132" s="16"/>
      <c r="L132" s="16"/>
      <c r="M132" s="16"/>
      <c r="N132" s="16"/>
      <c r="O132" s="16"/>
      <c r="P132" s="16"/>
      <c r="Q132" s="16"/>
      <c r="R132" s="16"/>
      <c r="S132" s="16"/>
      <c r="T132" s="16"/>
      <c r="U132" s="16"/>
      <c r="V132" s="16"/>
      <c r="W132" s="16"/>
      <c r="X132" s="16"/>
      <c r="Y132" s="16"/>
      <c r="Z132" s="16"/>
      <c r="AA132" s="16"/>
      <c r="AB132" s="16"/>
      <c r="AC132" s="16"/>
      <c r="AD132" s="16"/>
      <c r="AE132" s="16"/>
      <c r="AF132" s="16"/>
      <c r="AG132" s="16"/>
      <c r="AH132" s="16"/>
      <c r="AI132" s="16"/>
      <c r="AJ132" s="16"/>
    </row>
    <row r="133" spans="1:36" x14ac:dyDescent="0.3">
      <c r="B133" s="16"/>
      <c r="C133" s="24"/>
      <c r="D133" s="24"/>
      <c r="E133" s="24"/>
      <c r="F133" s="16"/>
      <c r="G133" s="16"/>
      <c r="H133" s="16"/>
      <c r="I133" s="16"/>
      <c r="J133" s="16"/>
      <c r="K133" s="16"/>
      <c r="L133" s="16"/>
      <c r="M133" s="16"/>
      <c r="N133" s="16"/>
      <c r="O133" s="16"/>
      <c r="P133" s="16"/>
      <c r="Q133" s="16"/>
      <c r="R133" s="16"/>
      <c r="S133" s="16"/>
      <c r="T133" s="16"/>
      <c r="U133" s="16"/>
      <c r="V133" s="16"/>
      <c r="W133" s="16"/>
      <c r="X133" s="16"/>
      <c r="Y133" s="16"/>
      <c r="Z133" s="16"/>
      <c r="AA133" s="16"/>
      <c r="AB133" s="16"/>
      <c r="AC133" s="16"/>
      <c r="AD133" s="16"/>
      <c r="AE133" s="16"/>
      <c r="AF133" s="16"/>
      <c r="AG133" s="16"/>
      <c r="AH133" s="16"/>
      <c r="AI133" s="16"/>
      <c r="AJ133" s="16"/>
    </row>
    <row r="134" spans="1:36" x14ac:dyDescent="0.3">
      <c r="B134" s="16"/>
      <c r="C134" s="24"/>
      <c r="D134" s="24"/>
      <c r="E134" s="24"/>
      <c r="F134" s="16"/>
      <c r="G134" s="16"/>
      <c r="H134" s="16"/>
      <c r="I134" s="16"/>
      <c r="J134" s="16"/>
      <c r="K134" s="16"/>
      <c r="L134" s="16"/>
      <c r="M134" s="16"/>
      <c r="N134" s="16"/>
      <c r="O134" s="16"/>
      <c r="P134" s="16"/>
      <c r="Q134" s="16"/>
      <c r="R134" s="16"/>
      <c r="S134" s="16"/>
      <c r="T134" s="16"/>
      <c r="U134" s="16"/>
      <c r="V134" s="16"/>
      <c r="W134" s="16"/>
      <c r="X134" s="16"/>
      <c r="Y134" s="16"/>
      <c r="Z134" s="16"/>
      <c r="AA134" s="16"/>
      <c r="AB134" s="16"/>
      <c r="AC134" s="16"/>
      <c r="AD134" s="16"/>
      <c r="AE134" s="16"/>
      <c r="AF134" s="16"/>
      <c r="AG134" s="16"/>
      <c r="AH134" s="16"/>
      <c r="AI134" s="16"/>
      <c r="AJ134" s="16"/>
    </row>
    <row r="135" spans="1:36" x14ac:dyDescent="0.3">
      <c r="B135" s="16"/>
      <c r="C135" s="24"/>
      <c r="D135" s="24"/>
      <c r="E135" s="24"/>
      <c r="F135" s="16"/>
      <c r="G135" s="16"/>
      <c r="H135" s="16"/>
      <c r="I135" s="16"/>
      <c r="J135" s="16"/>
      <c r="K135" s="16"/>
      <c r="L135" s="16"/>
      <c r="M135" s="16"/>
      <c r="N135" s="16"/>
      <c r="O135" s="16"/>
      <c r="P135" s="16"/>
      <c r="Q135" s="16"/>
      <c r="R135" s="16"/>
      <c r="S135" s="16"/>
      <c r="T135" s="16"/>
      <c r="U135" s="16"/>
      <c r="V135" s="16"/>
      <c r="W135" s="16"/>
      <c r="X135" s="16"/>
      <c r="Y135" s="16"/>
      <c r="Z135" s="16"/>
      <c r="AA135" s="16"/>
      <c r="AB135" s="16"/>
      <c r="AC135" s="16"/>
      <c r="AD135" s="16"/>
      <c r="AE135" s="16"/>
      <c r="AF135" s="16"/>
      <c r="AG135" s="16"/>
      <c r="AH135" s="16"/>
      <c r="AI135" s="16"/>
      <c r="AJ135" s="16"/>
    </row>
    <row r="136" spans="1:36" x14ac:dyDescent="0.3">
      <c r="B136" s="16"/>
      <c r="C136" s="24"/>
      <c r="D136" s="24"/>
      <c r="E136" s="24"/>
      <c r="F136" s="16"/>
      <c r="G136" s="16"/>
      <c r="H136" s="16"/>
      <c r="I136" s="16"/>
      <c r="J136" s="16"/>
      <c r="K136" s="16"/>
      <c r="L136" s="16"/>
      <c r="M136" s="16"/>
      <c r="N136" s="16"/>
      <c r="O136" s="16"/>
      <c r="P136" s="16"/>
      <c r="Q136" s="16"/>
      <c r="R136" s="16"/>
      <c r="S136" s="16"/>
      <c r="T136" s="16"/>
      <c r="U136" s="16"/>
      <c r="V136" s="16"/>
      <c r="W136" s="16"/>
      <c r="X136" s="16"/>
      <c r="Y136" s="16"/>
      <c r="Z136" s="16"/>
      <c r="AA136" s="16"/>
      <c r="AB136" s="16"/>
      <c r="AC136" s="16"/>
      <c r="AD136" s="16"/>
      <c r="AE136" s="16"/>
      <c r="AF136" s="16"/>
      <c r="AG136" s="16"/>
      <c r="AH136" s="16"/>
      <c r="AI136" s="16"/>
      <c r="AJ136" s="16"/>
    </row>
    <row r="137" spans="1:36" x14ac:dyDescent="0.3">
      <c r="B137" s="16"/>
      <c r="C137" s="24"/>
      <c r="D137" s="24"/>
      <c r="E137" s="24"/>
      <c r="F137" s="16"/>
      <c r="G137" s="16"/>
      <c r="H137" s="16"/>
      <c r="I137" s="16"/>
      <c r="J137" s="16"/>
      <c r="K137" s="16"/>
      <c r="L137" s="16"/>
      <c r="M137" s="16"/>
      <c r="N137" s="16"/>
      <c r="O137" s="16"/>
      <c r="P137" s="16"/>
      <c r="Q137" s="16"/>
      <c r="R137" s="16"/>
      <c r="S137" s="16"/>
      <c r="T137" s="16"/>
      <c r="U137" s="16"/>
      <c r="V137" s="16"/>
      <c r="W137" s="16"/>
      <c r="X137" s="16"/>
      <c r="Y137" s="16"/>
      <c r="Z137" s="16"/>
      <c r="AA137" s="16"/>
      <c r="AB137" s="16"/>
      <c r="AC137" s="16"/>
      <c r="AD137" s="16"/>
      <c r="AE137" s="16"/>
      <c r="AF137" s="16"/>
      <c r="AG137" s="16"/>
      <c r="AH137" s="16"/>
      <c r="AI137" s="16"/>
      <c r="AJ137" s="16"/>
    </row>
    <row r="138" spans="1:36" x14ac:dyDescent="0.3">
      <c r="B138" s="16"/>
      <c r="C138" s="24"/>
      <c r="D138" s="24"/>
      <c r="E138" s="24"/>
      <c r="F138" s="16"/>
      <c r="G138" s="16"/>
      <c r="H138" s="16"/>
      <c r="I138" s="16"/>
      <c r="J138" s="16"/>
      <c r="K138" s="16"/>
      <c r="L138" s="16"/>
      <c r="M138" s="16"/>
      <c r="N138" s="16"/>
      <c r="O138" s="16"/>
      <c r="P138" s="16"/>
      <c r="Q138" s="16"/>
      <c r="R138" s="16"/>
      <c r="S138" s="16"/>
      <c r="T138" s="16"/>
      <c r="U138" s="16"/>
      <c r="V138" s="16"/>
      <c r="W138" s="16"/>
      <c r="X138" s="16"/>
      <c r="Y138" s="16"/>
      <c r="Z138" s="16"/>
      <c r="AA138" s="16"/>
      <c r="AB138" s="16"/>
      <c r="AC138" s="16"/>
      <c r="AD138" s="16"/>
      <c r="AE138" s="16"/>
      <c r="AF138" s="16"/>
      <c r="AG138" s="16"/>
      <c r="AH138" s="16"/>
      <c r="AI138" s="16"/>
      <c r="AJ138" s="16"/>
    </row>
    <row r="139" spans="1:36" x14ac:dyDescent="0.3">
      <c r="B139" s="16"/>
      <c r="C139" s="24"/>
      <c r="D139" s="24"/>
      <c r="E139" s="24"/>
      <c r="F139" s="16"/>
      <c r="G139" s="16"/>
      <c r="H139" s="16"/>
      <c r="I139" s="16"/>
      <c r="J139" s="16"/>
      <c r="K139" s="16"/>
      <c r="L139" s="16"/>
      <c r="M139" s="16"/>
      <c r="N139" s="16"/>
      <c r="O139" s="16"/>
      <c r="P139" s="16"/>
      <c r="Q139" s="16"/>
      <c r="R139" s="16"/>
      <c r="S139" s="16"/>
      <c r="T139" s="16"/>
      <c r="U139" s="16"/>
      <c r="V139" s="16"/>
      <c r="W139" s="16"/>
      <c r="X139" s="16"/>
      <c r="Y139" s="16"/>
      <c r="Z139" s="16"/>
      <c r="AA139" s="16"/>
      <c r="AB139" s="16"/>
      <c r="AC139" s="16"/>
      <c r="AD139" s="16"/>
      <c r="AE139" s="16"/>
      <c r="AF139" s="16"/>
      <c r="AG139" s="16"/>
      <c r="AH139" s="16"/>
      <c r="AI139" s="16"/>
      <c r="AJ139" s="16"/>
    </row>
    <row r="140" spans="1:36" x14ac:dyDescent="0.3">
      <c r="B140" s="16"/>
      <c r="C140" s="24"/>
      <c r="D140" s="24"/>
      <c r="E140" s="24"/>
      <c r="F140" s="16"/>
      <c r="G140" s="16"/>
      <c r="H140" s="16"/>
      <c r="I140" s="16"/>
      <c r="J140" s="16"/>
      <c r="K140" s="16"/>
      <c r="L140" s="16"/>
      <c r="M140" s="16"/>
      <c r="N140" s="16"/>
      <c r="O140" s="16"/>
      <c r="P140" s="16"/>
      <c r="Q140" s="16"/>
      <c r="R140" s="16"/>
      <c r="S140" s="16"/>
      <c r="T140" s="16"/>
      <c r="U140" s="16"/>
      <c r="V140" s="16"/>
      <c r="W140" s="16"/>
      <c r="X140" s="16"/>
      <c r="Y140" s="16"/>
      <c r="Z140" s="16"/>
      <c r="AA140" s="16"/>
      <c r="AB140" s="16"/>
      <c r="AC140" s="16"/>
      <c r="AD140" s="16"/>
      <c r="AE140" s="16"/>
      <c r="AF140" s="16"/>
      <c r="AG140" s="16"/>
      <c r="AH140" s="16"/>
      <c r="AI140" s="16"/>
      <c r="AJ140" s="16"/>
    </row>
    <row r="141" spans="1:36" x14ac:dyDescent="0.3">
      <c r="B141" s="16"/>
      <c r="C141" s="24"/>
      <c r="D141" s="24"/>
      <c r="E141" s="24"/>
      <c r="F141" s="16"/>
      <c r="G141" s="16"/>
      <c r="H141" s="16"/>
      <c r="I141" s="16"/>
      <c r="J141" s="16"/>
      <c r="K141" s="16"/>
      <c r="L141" s="16"/>
      <c r="M141" s="16"/>
      <c r="N141" s="16"/>
      <c r="O141" s="16"/>
      <c r="P141" s="16"/>
      <c r="Q141" s="16"/>
      <c r="R141" s="16"/>
      <c r="S141" s="16"/>
      <c r="T141" s="16"/>
      <c r="U141" s="16"/>
      <c r="V141" s="16"/>
      <c r="W141" s="16"/>
      <c r="X141" s="16"/>
      <c r="Y141" s="16"/>
      <c r="Z141" s="16"/>
      <c r="AA141" s="16"/>
      <c r="AB141" s="16"/>
      <c r="AC141" s="16"/>
      <c r="AD141" s="16"/>
      <c r="AE141" s="16"/>
      <c r="AF141" s="16"/>
      <c r="AG141" s="16"/>
      <c r="AH141" s="16"/>
      <c r="AI141" s="16"/>
      <c r="AJ141" s="16"/>
    </row>
    <row r="142" spans="1:36" x14ac:dyDescent="0.3">
      <c r="B142" s="16"/>
      <c r="C142" s="24"/>
      <c r="D142" s="24"/>
      <c r="E142" s="24"/>
      <c r="F142" s="16"/>
      <c r="G142" s="16"/>
      <c r="H142" s="16"/>
      <c r="I142" s="16"/>
      <c r="J142" s="16"/>
      <c r="K142" s="16"/>
      <c r="L142" s="16"/>
      <c r="M142" s="16"/>
      <c r="N142" s="16"/>
      <c r="O142" s="16"/>
      <c r="P142" s="16"/>
      <c r="Q142" s="16"/>
      <c r="R142" s="16"/>
      <c r="S142" s="16"/>
      <c r="T142" s="16"/>
      <c r="U142" s="16"/>
      <c r="V142" s="16"/>
      <c r="W142" s="16"/>
      <c r="X142" s="16"/>
      <c r="Y142" s="16"/>
      <c r="Z142" s="16"/>
      <c r="AA142" s="16"/>
      <c r="AB142" s="16"/>
      <c r="AC142" s="16"/>
      <c r="AD142" s="16"/>
      <c r="AE142" s="16"/>
      <c r="AF142" s="16"/>
      <c r="AG142" s="16"/>
      <c r="AH142" s="16"/>
      <c r="AI142" s="16"/>
      <c r="AJ142" s="16"/>
    </row>
    <row r="143" spans="1:36" x14ac:dyDescent="0.3">
      <c r="B143" s="16"/>
      <c r="C143" s="24"/>
      <c r="D143" s="24"/>
      <c r="E143" s="24"/>
      <c r="F143" s="16"/>
      <c r="G143" s="16"/>
      <c r="H143" s="16"/>
      <c r="I143" s="16"/>
      <c r="J143" s="16"/>
      <c r="K143" s="16"/>
      <c r="L143" s="16"/>
      <c r="M143" s="16"/>
      <c r="N143" s="16"/>
      <c r="O143" s="16"/>
      <c r="P143" s="16"/>
      <c r="Q143" s="16"/>
      <c r="R143" s="16"/>
      <c r="S143" s="16"/>
      <c r="T143" s="16"/>
      <c r="U143" s="16"/>
      <c r="V143" s="16"/>
      <c r="W143" s="16"/>
      <c r="X143" s="16"/>
      <c r="Y143" s="16"/>
      <c r="Z143" s="16"/>
      <c r="AA143" s="16"/>
      <c r="AB143" s="16"/>
      <c r="AC143" s="16"/>
      <c r="AD143" s="16"/>
      <c r="AE143" s="16"/>
      <c r="AF143" s="16"/>
      <c r="AG143" s="16"/>
      <c r="AH143" s="16"/>
      <c r="AI143" s="16"/>
      <c r="AJ143" s="16"/>
    </row>
    <row r="144" spans="1:36" x14ac:dyDescent="0.3">
      <c r="B144" s="16"/>
      <c r="C144" s="24"/>
      <c r="D144" s="24"/>
      <c r="E144" s="24"/>
      <c r="F144" s="16"/>
      <c r="G144" s="16"/>
      <c r="H144" s="16"/>
      <c r="I144" s="16"/>
      <c r="J144" s="16"/>
      <c r="K144" s="16"/>
      <c r="L144" s="16"/>
      <c r="M144" s="16"/>
      <c r="N144" s="16"/>
      <c r="O144" s="16"/>
      <c r="P144" s="16"/>
      <c r="Q144" s="16"/>
      <c r="R144" s="16"/>
      <c r="S144" s="16"/>
      <c r="T144" s="16"/>
      <c r="U144" s="16"/>
      <c r="V144" s="16"/>
      <c r="W144" s="16"/>
      <c r="X144" s="16"/>
      <c r="Y144" s="16"/>
      <c r="Z144" s="16"/>
      <c r="AA144" s="16"/>
      <c r="AB144" s="16"/>
      <c r="AC144" s="16"/>
      <c r="AD144" s="16"/>
      <c r="AE144" s="16"/>
      <c r="AF144" s="16"/>
      <c r="AG144" s="16"/>
      <c r="AH144" s="16"/>
      <c r="AI144" s="16"/>
      <c r="AJ144" s="16"/>
    </row>
    <row r="145" spans="2:36" x14ac:dyDescent="0.3">
      <c r="B145" s="16"/>
      <c r="C145" s="24"/>
      <c r="D145" s="24"/>
      <c r="E145" s="24"/>
      <c r="F145" s="16"/>
      <c r="G145" s="16"/>
      <c r="H145" s="16"/>
      <c r="I145" s="16"/>
      <c r="J145" s="16"/>
      <c r="K145" s="16"/>
      <c r="L145" s="16"/>
      <c r="M145" s="16"/>
      <c r="N145" s="16"/>
      <c r="O145" s="16"/>
      <c r="P145" s="16"/>
      <c r="Q145" s="16"/>
      <c r="R145" s="16"/>
      <c r="S145" s="16"/>
      <c r="T145" s="16"/>
      <c r="U145" s="16"/>
      <c r="V145" s="16"/>
      <c r="W145" s="16"/>
      <c r="X145" s="16"/>
      <c r="Y145" s="16"/>
      <c r="Z145" s="16"/>
      <c r="AA145" s="16"/>
      <c r="AB145" s="16"/>
      <c r="AC145" s="16"/>
      <c r="AD145" s="16"/>
      <c r="AE145" s="16"/>
      <c r="AF145" s="16"/>
      <c r="AG145" s="16"/>
      <c r="AH145" s="16"/>
      <c r="AI145" s="16"/>
      <c r="AJ145" s="16"/>
    </row>
    <row r="146" spans="2:36" x14ac:dyDescent="0.3">
      <c r="B146" s="16"/>
      <c r="C146" s="24"/>
      <c r="D146" s="24"/>
      <c r="E146" s="24"/>
      <c r="F146" s="16"/>
      <c r="G146" s="16"/>
      <c r="H146" s="16"/>
      <c r="I146" s="16"/>
      <c r="J146" s="16"/>
      <c r="K146" s="16"/>
      <c r="L146" s="16"/>
      <c r="M146" s="16"/>
      <c r="N146" s="16"/>
      <c r="O146" s="16"/>
      <c r="P146" s="16"/>
      <c r="Q146" s="16"/>
      <c r="R146" s="16"/>
      <c r="S146" s="16"/>
      <c r="T146" s="16"/>
      <c r="U146" s="16"/>
      <c r="V146" s="16"/>
      <c r="W146" s="16"/>
      <c r="X146" s="16"/>
      <c r="Y146" s="16"/>
      <c r="Z146" s="16"/>
      <c r="AA146" s="16"/>
      <c r="AB146" s="16"/>
      <c r="AC146" s="16"/>
      <c r="AD146" s="16"/>
      <c r="AE146" s="16"/>
      <c r="AF146" s="16"/>
      <c r="AG146" s="16"/>
      <c r="AH146" s="16"/>
      <c r="AI146" s="16"/>
      <c r="AJ146" s="16"/>
    </row>
    <row r="147" spans="2:36" x14ac:dyDescent="0.3">
      <c r="B147" s="16"/>
      <c r="C147" s="24"/>
      <c r="D147" s="24"/>
      <c r="E147" s="24"/>
      <c r="F147" s="16"/>
      <c r="G147" s="16"/>
      <c r="H147" s="16"/>
      <c r="I147" s="16"/>
      <c r="J147" s="16"/>
      <c r="K147" s="16"/>
      <c r="L147" s="16"/>
      <c r="M147" s="16"/>
      <c r="N147" s="16"/>
      <c r="O147" s="16"/>
      <c r="P147" s="16"/>
      <c r="Q147" s="16"/>
      <c r="R147" s="16"/>
      <c r="S147" s="16"/>
      <c r="T147" s="16"/>
      <c r="U147" s="16"/>
      <c r="V147" s="16"/>
      <c r="W147" s="16"/>
      <c r="X147" s="16"/>
      <c r="Y147" s="16"/>
      <c r="Z147" s="16"/>
      <c r="AA147" s="16"/>
      <c r="AB147" s="16"/>
      <c r="AC147" s="16"/>
      <c r="AD147" s="16"/>
      <c r="AE147" s="16"/>
      <c r="AF147" s="16"/>
      <c r="AG147" s="16"/>
      <c r="AH147" s="16"/>
      <c r="AI147" s="16"/>
      <c r="AJ147" s="16"/>
    </row>
    <row r="148" spans="2:36" x14ac:dyDescent="0.3">
      <c r="B148" s="16"/>
      <c r="C148" s="24"/>
      <c r="D148" s="24"/>
      <c r="E148" s="24"/>
      <c r="F148" s="16"/>
      <c r="G148" s="16"/>
      <c r="H148" s="16"/>
      <c r="I148" s="16"/>
      <c r="J148" s="16"/>
      <c r="K148" s="16"/>
      <c r="L148" s="16"/>
      <c r="M148" s="16"/>
      <c r="N148" s="16"/>
      <c r="O148" s="16"/>
      <c r="P148" s="16"/>
      <c r="Q148" s="16"/>
      <c r="R148" s="16"/>
      <c r="S148" s="16"/>
      <c r="T148" s="16"/>
      <c r="U148" s="16"/>
      <c r="V148" s="16"/>
      <c r="W148" s="16"/>
      <c r="X148" s="16"/>
      <c r="Y148" s="16"/>
      <c r="Z148" s="16"/>
      <c r="AA148" s="16"/>
      <c r="AB148" s="16"/>
      <c r="AC148" s="16"/>
      <c r="AD148" s="16"/>
      <c r="AE148" s="16"/>
      <c r="AF148" s="16"/>
      <c r="AG148" s="16"/>
      <c r="AH148" s="16"/>
      <c r="AI148" s="16"/>
      <c r="AJ148" s="16"/>
    </row>
    <row r="149" spans="2:36" x14ac:dyDescent="0.3">
      <c r="B149" s="16"/>
      <c r="C149" s="24"/>
      <c r="D149" s="24"/>
      <c r="E149" s="24"/>
      <c r="F149" s="16"/>
      <c r="G149" s="16"/>
      <c r="H149" s="16"/>
      <c r="I149" s="16"/>
      <c r="J149" s="16"/>
      <c r="K149" s="16"/>
      <c r="L149" s="16"/>
      <c r="M149" s="16"/>
      <c r="N149" s="16"/>
      <c r="O149" s="16"/>
      <c r="P149" s="16"/>
      <c r="Q149" s="16"/>
      <c r="R149" s="16"/>
      <c r="S149" s="16"/>
      <c r="T149" s="16"/>
      <c r="U149" s="16"/>
      <c r="V149" s="16"/>
      <c r="W149" s="16"/>
      <c r="X149" s="16"/>
      <c r="Y149" s="16"/>
      <c r="Z149" s="16"/>
      <c r="AA149" s="16"/>
      <c r="AB149" s="16"/>
      <c r="AC149" s="16"/>
      <c r="AD149" s="16"/>
      <c r="AE149" s="16"/>
      <c r="AF149" s="16"/>
      <c r="AG149" s="16"/>
      <c r="AH149" s="16"/>
      <c r="AI149" s="16"/>
      <c r="AJ149" s="16"/>
    </row>
    <row r="150" spans="2:36" x14ac:dyDescent="0.3">
      <c r="B150" s="16"/>
      <c r="C150" s="24"/>
      <c r="D150" s="24"/>
      <c r="E150" s="24"/>
      <c r="F150" s="16"/>
      <c r="G150" s="16"/>
      <c r="H150" s="16"/>
      <c r="I150" s="16"/>
      <c r="J150" s="16"/>
      <c r="K150" s="16"/>
      <c r="L150" s="16"/>
      <c r="M150" s="16"/>
      <c r="N150" s="16"/>
      <c r="O150" s="16"/>
      <c r="P150" s="16"/>
      <c r="Q150" s="16"/>
      <c r="R150" s="16"/>
      <c r="S150" s="16"/>
      <c r="T150" s="16"/>
      <c r="U150" s="16"/>
      <c r="V150" s="16"/>
      <c r="W150" s="16"/>
      <c r="X150" s="16"/>
      <c r="Y150" s="16"/>
      <c r="Z150" s="16"/>
      <c r="AA150" s="16"/>
      <c r="AB150" s="16"/>
      <c r="AC150" s="16"/>
      <c r="AD150" s="16"/>
      <c r="AE150" s="16"/>
      <c r="AF150" s="16"/>
      <c r="AG150" s="16"/>
      <c r="AH150" s="16"/>
      <c r="AI150" s="16"/>
      <c r="AJ150" s="16"/>
    </row>
    <row r="151" spans="2:36" x14ac:dyDescent="0.3">
      <c r="B151" s="16"/>
      <c r="C151" s="24"/>
      <c r="D151" s="24"/>
      <c r="E151" s="24"/>
      <c r="F151" s="16"/>
      <c r="G151" s="16"/>
      <c r="H151" s="16"/>
      <c r="I151" s="16"/>
      <c r="J151" s="16"/>
      <c r="K151" s="16"/>
      <c r="L151" s="16"/>
      <c r="M151" s="16"/>
      <c r="N151" s="16"/>
      <c r="O151" s="16"/>
      <c r="P151" s="16"/>
      <c r="Q151" s="16"/>
      <c r="R151" s="16"/>
      <c r="S151" s="16"/>
      <c r="T151" s="16"/>
      <c r="U151" s="16"/>
      <c r="V151" s="16"/>
      <c r="W151" s="16"/>
      <c r="X151" s="16"/>
      <c r="Y151" s="16"/>
      <c r="Z151" s="16"/>
      <c r="AA151" s="16"/>
      <c r="AB151" s="16"/>
      <c r="AC151" s="16"/>
      <c r="AD151" s="16"/>
      <c r="AE151" s="16"/>
      <c r="AF151" s="16"/>
      <c r="AG151" s="16"/>
      <c r="AH151" s="16"/>
      <c r="AI151" s="16"/>
      <c r="AJ151" s="16"/>
    </row>
    <row r="152" spans="2:36" x14ac:dyDescent="0.3">
      <c r="B152" s="16"/>
      <c r="C152" s="24"/>
      <c r="D152" s="24"/>
      <c r="E152" s="24"/>
      <c r="F152" s="16"/>
      <c r="G152" s="16"/>
      <c r="H152" s="16"/>
      <c r="I152" s="16"/>
      <c r="J152" s="16"/>
      <c r="K152" s="16"/>
      <c r="L152" s="16"/>
      <c r="M152" s="16"/>
      <c r="N152" s="16"/>
      <c r="O152" s="16"/>
      <c r="P152" s="16"/>
      <c r="Q152" s="16"/>
      <c r="R152" s="16"/>
      <c r="S152" s="16"/>
      <c r="T152" s="16"/>
      <c r="U152" s="16"/>
      <c r="V152" s="16"/>
      <c r="W152" s="16"/>
      <c r="X152" s="16"/>
      <c r="Y152" s="16"/>
      <c r="Z152" s="16"/>
      <c r="AA152" s="16"/>
      <c r="AB152" s="16"/>
      <c r="AC152" s="16"/>
      <c r="AD152" s="16"/>
      <c r="AE152" s="16"/>
      <c r="AF152" s="16"/>
      <c r="AG152" s="16"/>
      <c r="AH152" s="16"/>
      <c r="AI152" s="16"/>
      <c r="AJ152" s="16"/>
    </row>
    <row r="153" spans="2:36" x14ac:dyDescent="0.3">
      <c r="B153" s="16"/>
      <c r="C153" s="24"/>
      <c r="D153" s="24"/>
      <c r="E153" s="24"/>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c r="AE153" s="16"/>
      <c r="AF153" s="16"/>
      <c r="AG153" s="16"/>
      <c r="AH153" s="16"/>
      <c r="AI153" s="16"/>
      <c r="AJ153" s="16"/>
    </row>
    <row r="154" spans="2:36" x14ac:dyDescent="0.3">
      <c r="B154" s="16"/>
      <c r="C154" s="24"/>
      <c r="D154" s="24"/>
      <c r="E154" s="24"/>
      <c r="F154" s="16"/>
      <c r="G154" s="16"/>
      <c r="H154" s="16"/>
      <c r="I154" s="16"/>
      <c r="J154" s="16"/>
      <c r="K154" s="16"/>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row>
    <row r="155" spans="2:36" x14ac:dyDescent="0.3">
      <c r="B155" s="16"/>
      <c r="C155" s="24"/>
      <c r="D155" s="24"/>
      <c r="E155" s="24"/>
      <c r="F155" s="16"/>
      <c r="G155" s="16"/>
      <c r="H155" s="16"/>
      <c r="I155" s="16"/>
      <c r="J155" s="16"/>
      <c r="K155" s="16"/>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row>
    <row r="156" spans="2:36" x14ac:dyDescent="0.3">
      <c r="B156" s="16"/>
      <c r="C156" s="24"/>
      <c r="D156" s="24"/>
      <c r="E156" s="24"/>
      <c r="F156" s="16"/>
      <c r="G156" s="16"/>
      <c r="H156" s="16"/>
      <c r="I156" s="16"/>
      <c r="J156" s="16"/>
      <c r="K156" s="16"/>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row>
    <row r="157" spans="2:36" x14ac:dyDescent="0.3">
      <c r="B157" s="16"/>
      <c r="C157" s="24"/>
      <c r="D157" s="24"/>
      <c r="E157" s="24"/>
      <c r="F157" s="16"/>
      <c r="G157" s="16"/>
      <c r="H157" s="16"/>
      <c r="I157" s="16"/>
      <c r="J157" s="16"/>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row>
    <row r="158" spans="2:36" x14ac:dyDescent="0.3">
      <c r="B158" s="16"/>
      <c r="C158" s="24"/>
      <c r="D158" s="24"/>
      <c r="E158" s="24"/>
      <c r="F158" s="16"/>
      <c r="G158" s="16"/>
      <c r="H158" s="16"/>
      <c r="I158" s="16"/>
      <c r="J158" s="16"/>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row>
    <row r="159" spans="2:36" x14ac:dyDescent="0.3">
      <c r="B159" s="16"/>
      <c r="C159" s="24"/>
      <c r="D159" s="24"/>
      <c r="E159" s="24"/>
      <c r="F159" s="16"/>
      <c r="G159" s="16"/>
      <c r="H159" s="16"/>
      <c r="I159" s="16"/>
      <c r="J159" s="16"/>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row>
    <row r="160" spans="2:36" x14ac:dyDescent="0.3">
      <c r="B160" s="16"/>
      <c r="C160" s="24"/>
      <c r="D160" s="24"/>
      <c r="E160" s="24"/>
      <c r="F160" s="16"/>
      <c r="G160" s="16"/>
      <c r="H160" s="16"/>
      <c r="I160" s="16"/>
      <c r="J160" s="16"/>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row>
    <row r="161" spans="2:36" x14ac:dyDescent="0.3">
      <c r="B161" s="16"/>
      <c r="C161" s="24"/>
      <c r="D161" s="24"/>
      <c r="E161" s="24"/>
      <c r="F161" s="16"/>
      <c r="G161" s="16"/>
      <c r="H161" s="16"/>
      <c r="I161" s="16"/>
      <c r="J161" s="16"/>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row>
    <row r="162" spans="2:36" x14ac:dyDescent="0.3">
      <c r="B162" s="16"/>
      <c r="C162" s="24"/>
      <c r="D162" s="24"/>
      <c r="E162" s="24"/>
      <c r="F162" s="16"/>
      <c r="G162" s="16"/>
      <c r="H162" s="16"/>
      <c r="I162" s="16"/>
      <c r="J162" s="16"/>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row>
    <row r="163" spans="2:36" x14ac:dyDescent="0.3">
      <c r="B163" s="16"/>
      <c r="C163" s="24"/>
      <c r="D163" s="24"/>
      <c r="E163" s="24"/>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row>
    <row r="164" spans="2:36" x14ac:dyDescent="0.3">
      <c r="B164" s="16"/>
      <c r="C164" s="24"/>
      <c r="D164" s="24"/>
      <c r="E164" s="24"/>
      <c r="F164" s="16"/>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row>
    <row r="165" spans="2:36" x14ac:dyDescent="0.3">
      <c r="B165" s="16"/>
      <c r="C165" s="24"/>
      <c r="D165" s="24"/>
      <c r="E165" s="24"/>
      <c r="F165" s="16"/>
      <c r="G165" s="16"/>
      <c r="H165" s="16"/>
      <c r="I165" s="16"/>
      <c r="J165" s="16"/>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row>
    <row r="166" spans="2:36" x14ac:dyDescent="0.3">
      <c r="B166" s="16"/>
      <c r="C166" s="24"/>
      <c r="D166" s="24"/>
      <c r="E166" s="24"/>
      <c r="F166" s="16"/>
      <c r="G166" s="16"/>
      <c r="H166" s="16"/>
      <c r="I166" s="16"/>
      <c r="J166" s="16"/>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row>
    <row r="167" spans="2:36" x14ac:dyDescent="0.3">
      <c r="B167" s="16"/>
      <c r="C167" s="24"/>
      <c r="D167" s="24"/>
      <c r="E167" s="24"/>
      <c r="F167" s="16"/>
      <c r="G167" s="16"/>
      <c r="H167" s="16"/>
      <c r="I167" s="16"/>
      <c r="J167" s="16"/>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row>
    <row r="168" spans="2:36" x14ac:dyDescent="0.3">
      <c r="B168" s="16"/>
      <c r="C168" s="24"/>
      <c r="D168" s="24"/>
      <c r="E168" s="24"/>
      <c r="F168" s="16"/>
      <c r="G168" s="16"/>
      <c r="H168" s="16"/>
      <c r="I168" s="16"/>
      <c r="J168" s="16"/>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row>
    <row r="169" spans="2:36" x14ac:dyDescent="0.3">
      <c r="B169" s="16"/>
      <c r="C169" s="24"/>
      <c r="D169" s="24"/>
      <c r="E169" s="24"/>
      <c r="F169" s="16"/>
      <c r="G169" s="16"/>
      <c r="H169" s="16"/>
      <c r="I169" s="16"/>
      <c r="J169" s="16"/>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row>
    <row r="170" spans="2:36" x14ac:dyDescent="0.3">
      <c r="B170" s="16"/>
      <c r="C170" s="24"/>
      <c r="D170" s="24"/>
      <c r="E170" s="24"/>
      <c r="F170" s="16"/>
      <c r="G170" s="16"/>
      <c r="H170" s="16"/>
      <c r="I170" s="16"/>
      <c r="J170" s="16"/>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row>
    <row r="171" spans="2:36" x14ac:dyDescent="0.3">
      <c r="B171" s="16"/>
      <c r="C171" s="24"/>
      <c r="D171" s="24"/>
      <c r="E171" s="24"/>
      <c r="F171" s="16"/>
      <c r="G171" s="16"/>
      <c r="H171" s="16"/>
      <c r="I171" s="16"/>
      <c r="J171" s="16"/>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row>
    <row r="172" spans="2:36" x14ac:dyDescent="0.3">
      <c r="B172" s="16"/>
      <c r="C172" s="24"/>
      <c r="D172" s="24"/>
      <c r="E172" s="24"/>
      <c r="F172" s="16"/>
      <c r="G172" s="16"/>
      <c r="H172" s="16"/>
      <c r="I172" s="16"/>
      <c r="J172" s="16"/>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row>
    <row r="173" spans="2:36" x14ac:dyDescent="0.3">
      <c r="B173" s="16"/>
      <c r="C173" s="24"/>
      <c r="D173" s="24"/>
      <c r="E173" s="24"/>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row>
    <row r="174" spans="2:36" x14ac:dyDescent="0.3">
      <c r="B174" s="16"/>
      <c r="C174" s="24"/>
      <c r="D174" s="24"/>
      <c r="E174" s="24"/>
      <c r="F174" s="16"/>
      <c r="G174" s="16"/>
      <c r="H174" s="16"/>
      <c r="I174" s="16"/>
      <c r="J174" s="16"/>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row>
    <row r="175" spans="2:36" x14ac:dyDescent="0.3">
      <c r="B175" s="16"/>
      <c r="C175" s="24"/>
      <c r="D175" s="24"/>
      <c r="E175" s="24"/>
      <c r="F175" s="16"/>
      <c r="G175" s="16"/>
      <c r="H175" s="16"/>
      <c r="I175" s="16"/>
      <c r="J175" s="16"/>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row>
    <row r="176" spans="2:36" x14ac:dyDescent="0.3">
      <c r="B176" s="16"/>
      <c r="C176" s="24"/>
      <c r="D176" s="24"/>
      <c r="E176" s="24"/>
      <c r="F176" s="16"/>
      <c r="G176" s="16"/>
      <c r="H176" s="16"/>
      <c r="I176" s="16"/>
      <c r="J176" s="16"/>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row>
    <row r="177" spans="2:36" x14ac:dyDescent="0.3">
      <c r="B177" s="16"/>
      <c r="C177" s="24"/>
      <c r="D177" s="24"/>
      <c r="E177" s="24"/>
      <c r="F177" s="16"/>
      <c r="G177" s="16"/>
      <c r="H177" s="16"/>
      <c r="I177" s="16"/>
      <c r="J177" s="16"/>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row>
    <row r="178" spans="2:36" x14ac:dyDescent="0.3">
      <c r="B178" s="16"/>
      <c r="C178" s="24"/>
      <c r="D178" s="24"/>
      <c r="E178" s="24"/>
      <c r="F178" s="16"/>
      <c r="G178" s="16"/>
      <c r="H178" s="16"/>
      <c r="I178" s="16"/>
      <c r="J178" s="16"/>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row>
    <row r="179" spans="2:36" x14ac:dyDescent="0.3">
      <c r="B179" s="16"/>
      <c r="C179" s="24"/>
      <c r="D179" s="24"/>
      <c r="E179" s="24"/>
      <c r="F179" s="16"/>
      <c r="G179" s="16"/>
      <c r="H179" s="16"/>
      <c r="I179" s="16"/>
      <c r="J179" s="16"/>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row>
    <row r="180" spans="2:36" x14ac:dyDescent="0.3">
      <c r="B180" s="16"/>
      <c r="C180" s="24"/>
      <c r="D180" s="24"/>
      <c r="E180" s="24"/>
      <c r="F180" s="16"/>
      <c r="G180" s="16"/>
      <c r="H180" s="16"/>
      <c r="I180" s="16"/>
      <c r="J180" s="16"/>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row>
    <row r="181" spans="2:36" x14ac:dyDescent="0.3">
      <c r="B181" s="16"/>
      <c r="C181" s="24"/>
      <c r="D181" s="24"/>
      <c r="E181" s="24"/>
      <c r="F181" s="16"/>
      <c r="G181" s="16"/>
      <c r="H181" s="16"/>
      <c r="I181" s="16"/>
      <c r="J181" s="16"/>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row>
    <row r="182" spans="2:36" x14ac:dyDescent="0.3">
      <c r="B182" s="16"/>
      <c r="C182" s="24"/>
      <c r="D182" s="24"/>
      <c r="E182" s="24"/>
      <c r="F182" s="16"/>
      <c r="G182" s="16"/>
      <c r="H182" s="16"/>
      <c r="I182" s="16"/>
      <c r="J182" s="16"/>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row>
    <row r="183" spans="2:36" x14ac:dyDescent="0.3">
      <c r="B183" s="16"/>
      <c r="C183" s="24"/>
      <c r="D183" s="24"/>
      <c r="E183" s="24"/>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row>
    <row r="184" spans="2:36" x14ac:dyDescent="0.3">
      <c r="B184" s="16"/>
      <c r="C184" s="24"/>
      <c r="D184" s="24"/>
      <c r="E184" s="24"/>
      <c r="F184" s="16"/>
      <c r="G184" s="16"/>
      <c r="H184" s="16"/>
      <c r="I184" s="16"/>
      <c r="J184" s="16"/>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row>
    <row r="185" spans="2:36" x14ac:dyDescent="0.3">
      <c r="B185" s="16"/>
      <c r="C185" s="24"/>
      <c r="D185" s="24"/>
      <c r="E185" s="24"/>
      <c r="F185" s="16"/>
      <c r="G185" s="16"/>
      <c r="H185" s="16"/>
      <c r="I185" s="16"/>
      <c r="J185" s="16"/>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row>
    <row r="186" spans="2:36" x14ac:dyDescent="0.3">
      <c r="B186" s="16"/>
      <c r="C186" s="24"/>
      <c r="D186" s="24"/>
      <c r="E186" s="24"/>
      <c r="F186" s="16"/>
      <c r="G186" s="16"/>
      <c r="H186" s="16"/>
      <c r="I186" s="16"/>
      <c r="J186" s="16"/>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row>
    <row r="187" spans="2:36" x14ac:dyDescent="0.3">
      <c r="B187" s="16"/>
      <c r="C187" s="24"/>
      <c r="D187" s="24"/>
      <c r="E187" s="24"/>
      <c r="F187" s="16"/>
      <c r="G187" s="16"/>
      <c r="H187" s="16"/>
      <c r="I187" s="16"/>
      <c r="J187" s="16"/>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row>
    <row r="188" spans="2:36" x14ac:dyDescent="0.3">
      <c r="B188" s="16"/>
      <c r="C188" s="24"/>
      <c r="D188" s="24"/>
      <c r="E188" s="24"/>
      <c r="F188" s="16"/>
      <c r="G188" s="16"/>
      <c r="H188" s="16"/>
      <c r="I188" s="16"/>
      <c r="J188" s="16"/>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row>
    <row r="189" spans="2:36" x14ac:dyDescent="0.3">
      <c r="B189" s="16"/>
      <c r="C189" s="24"/>
      <c r="D189" s="24"/>
      <c r="E189" s="24"/>
      <c r="F189" s="16"/>
      <c r="G189" s="16"/>
      <c r="H189" s="16"/>
      <c r="I189" s="16"/>
      <c r="J189" s="16"/>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row>
    <row r="190" spans="2:36" x14ac:dyDescent="0.3">
      <c r="B190" s="16"/>
      <c r="C190" s="24"/>
      <c r="D190" s="24"/>
      <c r="E190" s="24"/>
      <c r="F190" s="16"/>
      <c r="G190" s="16"/>
      <c r="H190" s="16"/>
      <c r="I190" s="16"/>
      <c r="J190" s="16"/>
      <c r="K190" s="16"/>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row>
    <row r="191" spans="2:36" x14ac:dyDescent="0.3">
      <c r="B191" s="16"/>
      <c r="C191" s="24"/>
      <c r="D191" s="24"/>
      <c r="E191" s="24"/>
      <c r="F191" s="16"/>
      <c r="G191" s="16"/>
      <c r="H191" s="16"/>
      <c r="I191" s="16"/>
      <c r="J191" s="16"/>
      <c r="K191" s="16"/>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row>
    <row r="192" spans="2:36" x14ac:dyDescent="0.3">
      <c r="B192" s="16"/>
      <c r="C192" s="24"/>
      <c r="D192" s="24"/>
      <c r="E192" s="24"/>
      <c r="F192" s="16"/>
      <c r="G192" s="16"/>
      <c r="H192" s="16"/>
      <c r="I192" s="16"/>
      <c r="J192" s="16"/>
      <c r="K192" s="16"/>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row>
    <row r="193" spans="2:36" x14ac:dyDescent="0.3">
      <c r="B193" s="16"/>
      <c r="C193" s="24"/>
      <c r="D193" s="24"/>
      <c r="E193" s="24"/>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row>
    <row r="194" spans="2:36" x14ac:dyDescent="0.3">
      <c r="B194" s="16"/>
      <c r="C194" s="24"/>
      <c r="D194" s="24"/>
      <c r="E194" s="24"/>
      <c r="F194" s="16"/>
      <c r="G194" s="16"/>
      <c r="H194" s="16"/>
      <c r="I194" s="16"/>
      <c r="J194" s="16"/>
      <c r="K194" s="16"/>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row>
    <row r="195" spans="2:36" x14ac:dyDescent="0.3">
      <c r="B195" s="16"/>
      <c r="C195" s="24"/>
      <c r="D195" s="24"/>
      <c r="E195" s="24"/>
      <c r="F195" s="16"/>
      <c r="G195" s="16"/>
      <c r="H195" s="16"/>
      <c r="I195" s="16"/>
      <c r="J195" s="16"/>
      <c r="K195" s="16"/>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row>
    <row r="196" spans="2:36" x14ac:dyDescent="0.3">
      <c r="B196" s="16"/>
      <c r="C196" s="24"/>
      <c r="D196" s="24"/>
      <c r="E196" s="24"/>
      <c r="F196" s="16"/>
      <c r="G196" s="16"/>
      <c r="H196" s="16"/>
      <c r="I196" s="16"/>
      <c r="J196" s="16"/>
      <c r="K196" s="16"/>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row>
    <row r="197" spans="2:36" x14ac:dyDescent="0.3">
      <c r="B197" s="16"/>
      <c r="C197" s="24"/>
      <c r="D197" s="24"/>
      <c r="E197" s="24"/>
      <c r="F197" s="16"/>
      <c r="G197" s="16"/>
      <c r="H197" s="16"/>
      <c r="I197" s="16"/>
      <c r="J197" s="16"/>
      <c r="K197" s="16"/>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row>
    <row r="198" spans="2:36" x14ac:dyDescent="0.3">
      <c r="B198" s="16"/>
      <c r="C198" s="24"/>
      <c r="D198" s="24"/>
      <c r="E198" s="24"/>
      <c r="F198" s="16"/>
      <c r="G198" s="16"/>
      <c r="H198" s="16"/>
      <c r="I198" s="16"/>
      <c r="J198" s="16"/>
      <c r="K198" s="16"/>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row>
    <row r="199" spans="2:36" x14ac:dyDescent="0.3">
      <c r="B199" s="16"/>
      <c r="C199" s="24"/>
      <c r="D199" s="24"/>
      <c r="E199" s="24"/>
      <c r="F199" s="16"/>
      <c r="G199" s="16"/>
      <c r="H199" s="16"/>
      <c r="I199" s="16"/>
      <c r="J199" s="16"/>
      <c r="K199" s="16"/>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row>
    <row r="200" spans="2:36" x14ac:dyDescent="0.3">
      <c r="B200" s="16"/>
      <c r="C200" s="24"/>
      <c r="D200" s="24"/>
      <c r="E200" s="24"/>
      <c r="F200" s="16"/>
      <c r="G200" s="16"/>
      <c r="H200" s="16"/>
      <c r="I200" s="16"/>
      <c r="J200" s="16"/>
      <c r="K200" s="16"/>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row>
    <row r="201" spans="2:36" x14ac:dyDescent="0.3">
      <c r="B201" s="16"/>
      <c r="C201" s="24"/>
      <c r="D201" s="24"/>
      <c r="E201" s="24"/>
      <c r="F201" s="16"/>
      <c r="G201" s="16"/>
      <c r="H201" s="16"/>
      <c r="I201" s="16"/>
      <c r="J201" s="16"/>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row>
    <row r="202" spans="2:36" x14ac:dyDescent="0.3">
      <c r="B202" s="16"/>
      <c r="C202" s="24"/>
      <c r="D202" s="24"/>
      <c r="E202" s="24"/>
      <c r="F202" s="16"/>
      <c r="G202" s="16"/>
      <c r="H202" s="16"/>
      <c r="I202" s="16"/>
      <c r="J202" s="16"/>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row>
    <row r="203" spans="2:36" x14ac:dyDescent="0.3">
      <c r="B203" s="16"/>
      <c r="C203" s="24"/>
      <c r="D203" s="24"/>
      <c r="E203" s="24"/>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row>
    <row r="204" spans="2:36" x14ac:dyDescent="0.3">
      <c r="B204" s="16"/>
      <c r="C204" s="24"/>
      <c r="D204" s="24"/>
      <c r="E204" s="24"/>
      <c r="F204" s="16"/>
      <c r="G204" s="16"/>
      <c r="H204" s="16"/>
      <c r="I204" s="16"/>
      <c r="J204" s="16"/>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row>
    <row r="205" spans="2:36" x14ac:dyDescent="0.3">
      <c r="B205" s="16"/>
      <c r="C205" s="24"/>
      <c r="D205" s="24"/>
      <c r="E205" s="24"/>
      <c r="F205" s="16"/>
      <c r="G205" s="16"/>
      <c r="H205" s="16"/>
      <c r="I205" s="16"/>
      <c r="J205" s="16"/>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row>
    <row r="206" spans="2:36" x14ac:dyDescent="0.3">
      <c r="B206" s="16"/>
      <c r="C206" s="24"/>
      <c r="D206" s="24"/>
      <c r="E206" s="24"/>
      <c r="F206" s="16"/>
      <c r="G206" s="16"/>
      <c r="H206" s="16"/>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row>
    <row r="207" spans="2:36" x14ac:dyDescent="0.3">
      <c r="B207" s="16"/>
      <c r="C207" s="24"/>
      <c r="D207" s="24"/>
      <c r="E207" s="24"/>
      <c r="F207" s="16"/>
      <c r="G207" s="16"/>
      <c r="H207" s="16"/>
      <c r="I207" s="16"/>
      <c r="J207" s="16"/>
      <c r="K207" s="16"/>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row>
    <row r="208" spans="2:36" x14ac:dyDescent="0.3">
      <c r="B208" s="16"/>
      <c r="C208" s="24"/>
      <c r="D208" s="24"/>
      <c r="E208" s="24"/>
      <c r="F208" s="16"/>
      <c r="G208" s="16"/>
      <c r="H208" s="16"/>
      <c r="I208" s="16"/>
      <c r="J208" s="16"/>
      <c r="K208" s="16"/>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row>
    <row r="209" spans="2:36" x14ac:dyDescent="0.3">
      <c r="B209" s="16"/>
      <c r="C209" s="24"/>
      <c r="D209" s="24"/>
      <c r="E209" s="24"/>
      <c r="F209" s="16"/>
      <c r="G209" s="16"/>
      <c r="H209" s="16"/>
      <c r="I209" s="16"/>
      <c r="J209" s="16"/>
      <c r="K209" s="16"/>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row>
    <row r="210" spans="2:36" x14ac:dyDescent="0.3">
      <c r="B210" s="16"/>
      <c r="C210" s="24"/>
      <c r="D210" s="24"/>
      <c r="E210" s="24"/>
      <c r="F210" s="16"/>
      <c r="G210" s="16"/>
      <c r="H210" s="16"/>
      <c r="I210" s="16"/>
      <c r="J210" s="16"/>
      <c r="K210" s="16"/>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row>
    <row r="211" spans="2:36" x14ac:dyDescent="0.3">
      <c r="B211" s="16"/>
      <c r="C211" s="24"/>
      <c r="D211" s="24"/>
      <c r="E211" s="24"/>
      <c r="F211" s="16"/>
      <c r="G211" s="16"/>
      <c r="H211" s="16"/>
      <c r="I211" s="16"/>
      <c r="J211" s="16"/>
      <c r="K211" s="16"/>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row>
    <row r="212" spans="2:36" x14ac:dyDescent="0.3">
      <c r="B212" s="16"/>
      <c r="C212" s="24"/>
      <c r="D212" s="24"/>
      <c r="E212" s="24"/>
      <c r="F212" s="16"/>
      <c r="G212" s="16"/>
      <c r="H212" s="16"/>
      <c r="I212" s="16"/>
      <c r="J212" s="16"/>
      <c r="K212" s="16"/>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row>
    <row r="213" spans="2:36" x14ac:dyDescent="0.3">
      <c r="B213" s="16"/>
      <c r="C213" s="24"/>
      <c r="D213" s="24"/>
      <c r="E213" s="24"/>
      <c r="F213" s="16"/>
      <c r="G213" s="16"/>
      <c r="H213" s="16"/>
      <c r="I213" s="16"/>
      <c r="J213" s="16"/>
      <c r="K213" s="16"/>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row>
    <row r="214" spans="2:36" x14ac:dyDescent="0.3">
      <c r="B214" s="16"/>
      <c r="C214" s="24"/>
      <c r="D214" s="24"/>
      <c r="E214" s="24"/>
      <c r="F214" s="16"/>
      <c r="G214" s="16"/>
      <c r="H214" s="16"/>
      <c r="I214" s="16"/>
      <c r="J214" s="16"/>
      <c r="K214" s="16"/>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row>
    <row r="215" spans="2:36" x14ac:dyDescent="0.3">
      <c r="B215" s="16"/>
      <c r="C215" s="24"/>
      <c r="D215" s="24"/>
      <c r="E215" s="24"/>
      <c r="F215" s="16"/>
      <c r="G215" s="16"/>
      <c r="H215" s="16"/>
      <c r="I215" s="16"/>
      <c r="J215" s="16"/>
      <c r="K215" s="16"/>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row>
    <row r="216" spans="2:36" x14ac:dyDescent="0.3">
      <c r="B216" s="16"/>
      <c r="C216" s="24"/>
      <c r="D216" s="24"/>
      <c r="E216" s="24"/>
      <c r="F216" s="16"/>
      <c r="G216" s="16"/>
      <c r="H216" s="16"/>
      <c r="I216" s="16"/>
      <c r="J216" s="16"/>
      <c r="K216" s="16"/>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row>
    <row r="217" spans="2:36" x14ac:dyDescent="0.3">
      <c r="B217" s="16"/>
      <c r="C217" s="24"/>
      <c r="D217" s="24"/>
      <c r="E217" s="24"/>
      <c r="F217" s="16"/>
      <c r="G217" s="16"/>
      <c r="H217" s="16"/>
      <c r="I217" s="16"/>
      <c r="J217" s="16"/>
      <c r="K217" s="16"/>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row>
    <row r="218" spans="2:36" x14ac:dyDescent="0.3">
      <c r="B218" s="16"/>
      <c r="C218" s="24"/>
      <c r="D218" s="24"/>
      <c r="E218" s="24"/>
      <c r="F218" s="16"/>
      <c r="G218" s="16"/>
      <c r="H218" s="16"/>
      <c r="I218" s="16"/>
      <c r="J218" s="16"/>
      <c r="K218" s="16"/>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row>
    <row r="219" spans="2:36" x14ac:dyDescent="0.3">
      <c r="B219" s="16"/>
      <c r="C219" s="24"/>
      <c r="D219" s="24"/>
      <c r="E219" s="24"/>
      <c r="F219" s="16"/>
      <c r="G219" s="16"/>
      <c r="H219" s="16"/>
      <c r="I219" s="16"/>
      <c r="J219" s="16"/>
      <c r="K219" s="16"/>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row>
    <row r="220" spans="2:36" x14ac:dyDescent="0.3">
      <c r="B220" s="16"/>
      <c r="C220" s="24"/>
      <c r="D220" s="24"/>
      <c r="E220" s="24"/>
      <c r="F220" s="16"/>
      <c r="G220" s="16"/>
      <c r="H220" s="16"/>
      <c r="I220" s="16"/>
      <c r="J220" s="16"/>
      <c r="K220" s="16"/>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row>
    <row r="221" spans="2:36" x14ac:dyDescent="0.3">
      <c r="B221" s="16"/>
      <c r="C221" s="24"/>
      <c r="D221" s="24"/>
      <c r="E221" s="24"/>
      <c r="F221" s="16"/>
      <c r="G221" s="16"/>
      <c r="H221" s="16"/>
      <c r="I221" s="16"/>
      <c r="J221" s="16"/>
      <c r="K221" s="16"/>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row>
    <row r="222" spans="2:36" x14ac:dyDescent="0.3">
      <c r="B222" s="16"/>
      <c r="C222" s="24"/>
      <c r="D222" s="24"/>
      <c r="E222" s="24"/>
      <c r="F222" s="16"/>
      <c r="G222" s="16"/>
      <c r="H222" s="16"/>
      <c r="I222" s="16"/>
      <c r="J222" s="16"/>
      <c r="K222" s="16"/>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row>
    <row r="223" spans="2:36" x14ac:dyDescent="0.3">
      <c r="B223" s="16"/>
      <c r="C223" s="24"/>
      <c r="D223" s="24"/>
      <c r="E223" s="24"/>
      <c r="F223" s="16"/>
      <c r="G223" s="16"/>
      <c r="H223" s="16"/>
      <c r="I223" s="16"/>
      <c r="J223" s="16"/>
      <c r="K223" s="16"/>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row>
    <row r="224" spans="2:36" x14ac:dyDescent="0.3">
      <c r="B224" s="16"/>
      <c r="C224" s="24"/>
      <c r="D224" s="24"/>
      <c r="E224" s="24"/>
      <c r="F224" s="16"/>
      <c r="G224" s="16"/>
      <c r="H224" s="16"/>
      <c r="I224" s="16"/>
      <c r="J224" s="16"/>
      <c r="K224" s="16"/>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row>
    <row r="225" spans="3:36" x14ac:dyDescent="0.3">
      <c r="C225" s="24"/>
      <c r="D225" s="24"/>
      <c r="E225" s="24"/>
      <c r="F225" s="16"/>
      <c r="G225" s="16"/>
      <c r="H225" s="16"/>
      <c r="I225" s="16"/>
      <c r="J225" s="16"/>
      <c r="K225" s="16"/>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row>
    <row r="226" spans="3:36" x14ac:dyDescent="0.3">
      <c r="C226" s="24"/>
      <c r="D226" s="24"/>
      <c r="E226" s="24"/>
      <c r="F226" s="16"/>
      <c r="G226" s="16"/>
      <c r="H226" s="16"/>
      <c r="I226" s="16"/>
      <c r="J226" s="16"/>
      <c r="K226" s="16"/>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row>
    <row r="227" spans="3:36" x14ac:dyDescent="0.3">
      <c r="C227" s="25"/>
      <c r="D227" s="25"/>
      <c r="E227" s="25"/>
      <c r="F227" s="16"/>
      <c r="G227" s="16"/>
      <c r="H227" s="16"/>
      <c r="I227" s="16"/>
      <c r="J227" s="16"/>
      <c r="K227" s="16"/>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row>
    <row r="228" spans="3:36" x14ac:dyDescent="0.3">
      <c r="C228" s="25"/>
      <c r="D228" s="25"/>
      <c r="E228" s="25"/>
      <c r="F228" s="16"/>
      <c r="G228" s="16"/>
      <c r="H228" s="16"/>
      <c r="I228" s="16"/>
      <c r="J228" s="16"/>
      <c r="K228" s="16"/>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row>
    <row r="229" spans="3:36" x14ac:dyDescent="0.3">
      <c r="C229" s="25"/>
      <c r="D229" s="25"/>
      <c r="E229" s="25"/>
      <c r="F229" s="16"/>
      <c r="G229" s="16"/>
      <c r="H229" s="16"/>
      <c r="I229" s="16"/>
      <c r="J229" s="16"/>
      <c r="K229" s="16"/>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row>
    <row r="230" spans="3:36" x14ac:dyDescent="0.3">
      <c r="C230" s="25"/>
      <c r="D230" s="25"/>
      <c r="E230" s="25"/>
      <c r="F230" s="16"/>
      <c r="G230" s="16"/>
      <c r="H230" s="16"/>
      <c r="I230" s="16"/>
      <c r="J230" s="16"/>
      <c r="K230" s="16"/>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row>
    <row r="231" spans="3:36" x14ac:dyDescent="0.3">
      <c r="C231" s="25"/>
      <c r="D231" s="25"/>
      <c r="E231" s="25"/>
      <c r="F231" s="16"/>
      <c r="G231" s="16"/>
      <c r="H231" s="16"/>
      <c r="I231" s="16"/>
      <c r="J231" s="16"/>
      <c r="K231" s="16"/>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row>
    <row r="232" spans="3:36" x14ac:dyDescent="0.3">
      <c r="C232" s="25"/>
      <c r="D232" s="25"/>
      <c r="E232" s="25"/>
      <c r="F232" s="16"/>
      <c r="G232" s="16"/>
      <c r="H232" s="16"/>
      <c r="I232" s="16"/>
      <c r="J232" s="16"/>
      <c r="K232" s="16"/>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row>
    <row r="233" spans="3:36" x14ac:dyDescent="0.3">
      <c r="C233" s="25"/>
      <c r="D233" s="25"/>
      <c r="E233" s="25"/>
      <c r="F233" s="16"/>
      <c r="G233" s="16"/>
      <c r="H233" s="16"/>
      <c r="I233" s="16"/>
      <c r="J233" s="16"/>
      <c r="K233" s="16"/>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row>
    <row r="234" spans="3:36" x14ac:dyDescent="0.3">
      <c r="C234" s="25"/>
      <c r="D234" s="25"/>
      <c r="E234" s="25"/>
      <c r="F234" s="16"/>
      <c r="G234" s="16"/>
      <c r="H234" s="16"/>
      <c r="I234" s="16"/>
      <c r="J234" s="16"/>
      <c r="K234" s="16"/>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row>
    <row r="235" spans="3:36" x14ac:dyDescent="0.3">
      <c r="C235" s="25"/>
      <c r="D235" s="25"/>
      <c r="E235" s="25"/>
      <c r="F235" s="16"/>
      <c r="G235" s="16"/>
      <c r="H235" s="16"/>
      <c r="I235" s="16"/>
      <c r="J235" s="16"/>
      <c r="K235" s="16"/>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row>
    <row r="236" spans="3:36" x14ac:dyDescent="0.3">
      <c r="C236" s="25"/>
      <c r="D236" s="25"/>
      <c r="E236" s="25"/>
      <c r="F236" s="16"/>
      <c r="G236" s="16"/>
      <c r="H236" s="16"/>
      <c r="I236" s="16"/>
      <c r="J236" s="16"/>
      <c r="K236" s="16"/>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row>
    <row r="237" spans="3:36" x14ac:dyDescent="0.3">
      <c r="C237" s="25"/>
      <c r="D237" s="25"/>
      <c r="E237" s="25"/>
      <c r="F237" s="16"/>
      <c r="G237" s="16"/>
      <c r="H237" s="16"/>
      <c r="I237" s="16"/>
      <c r="J237" s="16"/>
      <c r="K237" s="16"/>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row>
    <row r="238" spans="3:36" x14ac:dyDescent="0.3">
      <c r="C238" s="25"/>
      <c r="D238" s="25"/>
      <c r="E238" s="25"/>
      <c r="F238" s="16"/>
      <c r="G238" s="16"/>
      <c r="H238" s="16"/>
      <c r="I238" s="16"/>
      <c r="J238" s="16"/>
      <c r="K238" s="16"/>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row>
    <row r="239" spans="3:36" x14ac:dyDescent="0.3">
      <c r="C239" s="25"/>
      <c r="D239" s="25"/>
      <c r="E239" s="25"/>
      <c r="F239" s="16"/>
      <c r="G239" s="16"/>
      <c r="H239" s="16"/>
      <c r="I239" s="16"/>
      <c r="J239" s="16"/>
      <c r="K239" s="16"/>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row>
    <row r="240" spans="3:36" x14ac:dyDescent="0.3">
      <c r="C240" s="25"/>
      <c r="D240" s="25"/>
      <c r="E240" s="25"/>
      <c r="F240" s="16"/>
      <c r="G240" s="16"/>
      <c r="H240" s="16"/>
      <c r="I240" s="16"/>
      <c r="J240" s="16"/>
      <c r="K240" s="16"/>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row>
    <row r="241" spans="3:36" x14ac:dyDescent="0.3">
      <c r="C241" s="25"/>
      <c r="D241" s="25"/>
      <c r="E241" s="25"/>
      <c r="F241" s="16"/>
      <c r="G241" s="16"/>
      <c r="H241" s="16"/>
      <c r="I241" s="16"/>
      <c r="J241" s="16"/>
      <c r="K241" s="16"/>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row>
    <row r="242" spans="3:36" x14ac:dyDescent="0.3">
      <c r="C242" s="25"/>
      <c r="D242" s="25"/>
      <c r="E242" s="25"/>
      <c r="F242" s="16"/>
      <c r="G242" s="16"/>
      <c r="H242" s="16"/>
      <c r="I242" s="16"/>
      <c r="J242" s="16"/>
      <c r="K242" s="16"/>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row>
    <row r="243" spans="3:36" x14ac:dyDescent="0.3">
      <c r="C243" s="25"/>
      <c r="D243" s="25"/>
      <c r="E243" s="25"/>
      <c r="F243" s="16"/>
      <c r="G243" s="16"/>
      <c r="H243" s="16"/>
      <c r="I243" s="16"/>
      <c r="J243" s="16"/>
      <c r="K243" s="16"/>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row>
    <row r="244" spans="3:36" x14ac:dyDescent="0.3">
      <c r="C244" s="25"/>
      <c r="D244" s="25"/>
      <c r="E244" s="25"/>
      <c r="F244" s="16"/>
      <c r="G244" s="16"/>
      <c r="H244" s="16"/>
      <c r="I244" s="16"/>
      <c r="J244" s="16"/>
      <c r="K244" s="16"/>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row>
    <row r="245" spans="3:36" x14ac:dyDescent="0.3">
      <c r="C245" s="25"/>
      <c r="D245" s="25"/>
      <c r="E245" s="25"/>
      <c r="F245" s="16"/>
      <c r="G245" s="16"/>
      <c r="H245" s="16"/>
      <c r="I245" s="16"/>
      <c r="J245" s="16"/>
      <c r="K245" s="16"/>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row>
    <row r="246" spans="3:36" x14ac:dyDescent="0.3">
      <c r="C246" s="25"/>
      <c r="D246" s="25"/>
      <c r="E246" s="25"/>
      <c r="F246" s="16"/>
      <c r="G246" s="16"/>
      <c r="H246" s="16"/>
      <c r="I246" s="16"/>
      <c r="J246" s="16"/>
      <c r="K246" s="16"/>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row>
    <row r="247" spans="3:36" x14ac:dyDescent="0.3">
      <c r="C247" s="25"/>
      <c r="D247" s="25"/>
      <c r="E247" s="25"/>
      <c r="F247" s="16"/>
      <c r="G247" s="16"/>
      <c r="H247" s="16"/>
      <c r="I247" s="16"/>
      <c r="J247" s="16"/>
      <c r="K247" s="16"/>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row>
    <row r="248" spans="3:36" x14ac:dyDescent="0.3">
      <c r="C248" s="25"/>
      <c r="D248" s="25"/>
      <c r="E248" s="25"/>
      <c r="F248" s="16"/>
      <c r="G248" s="16"/>
      <c r="H248" s="16"/>
      <c r="I248" s="16"/>
      <c r="J248" s="16"/>
      <c r="K248" s="16"/>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row>
    <row r="249" spans="3:36" x14ac:dyDescent="0.3">
      <c r="C249" s="25"/>
      <c r="D249" s="25"/>
      <c r="E249" s="25"/>
      <c r="F249" s="16"/>
      <c r="G249" s="16"/>
      <c r="H249" s="16"/>
      <c r="I249" s="16"/>
      <c r="J249" s="16"/>
      <c r="K249" s="16"/>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row>
    <row r="250" spans="3:36" x14ac:dyDescent="0.3">
      <c r="C250" s="25"/>
      <c r="D250" s="25"/>
      <c r="E250" s="25"/>
      <c r="F250" s="16"/>
      <c r="G250" s="16"/>
      <c r="H250" s="16"/>
      <c r="I250" s="16"/>
      <c r="J250" s="16"/>
      <c r="K250" s="16"/>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row>
    <row r="251" spans="3:36" x14ac:dyDescent="0.3">
      <c r="C251" s="25"/>
      <c r="D251" s="25"/>
      <c r="E251" s="25"/>
      <c r="F251" s="16"/>
      <c r="G251" s="16"/>
      <c r="H251" s="16"/>
      <c r="I251" s="16"/>
      <c r="J251" s="16"/>
      <c r="K251" s="16"/>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row>
    <row r="252" spans="3:36" x14ac:dyDescent="0.3">
      <c r="C252" s="25"/>
      <c r="D252" s="25"/>
      <c r="E252" s="25"/>
      <c r="F252" s="16"/>
      <c r="G252" s="16"/>
      <c r="H252" s="16"/>
      <c r="I252" s="16"/>
      <c r="J252" s="16"/>
      <c r="K252" s="16"/>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row>
    <row r="253" spans="3:36" x14ac:dyDescent="0.3">
      <c r="C253" s="25"/>
      <c r="D253" s="25"/>
      <c r="E253" s="25"/>
      <c r="F253" s="16"/>
      <c r="G253" s="16"/>
      <c r="H253" s="16"/>
      <c r="I253" s="16"/>
      <c r="J253" s="16"/>
      <c r="K253" s="16"/>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row>
    <row r="254" spans="3:36" x14ac:dyDescent="0.3">
      <c r="C254" s="25"/>
      <c r="D254" s="25"/>
      <c r="E254" s="25"/>
      <c r="F254" s="16"/>
      <c r="G254" s="16"/>
      <c r="H254" s="16"/>
      <c r="I254" s="16"/>
      <c r="J254" s="16"/>
      <c r="K254" s="16"/>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row>
    <row r="255" spans="3:36" x14ac:dyDescent="0.3">
      <c r="C255" s="25"/>
      <c r="D255" s="25"/>
      <c r="E255" s="25"/>
      <c r="F255" s="16"/>
      <c r="G255" s="16"/>
      <c r="H255" s="16"/>
      <c r="I255" s="16"/>
      <c r="J255" s="16"/>
      <c r="K255" s="16"/>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row>
    <row r="256" spans="3:36" x14ac:dyDescent="0.3">
      <c r="C256" s="25"/>
      <c r="D256" s="25"/>
      <c r="E256" s="25"/>
      <c r="F256" s="16"/>
      <c r="G256" s="16"/>
      <c r="H256" s="16"/>
      <c r="I256" s="16"/>
      <c r="J256" s="16"/>
      <c r="K256" s="16"/>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row>
    <row r="257" spans="3:36" x14ac:dyDescent="0.3">
      <c r="C257" s="25"/>
      <c r="D257" s="25"/>
      <c r="E257" s="25"/>
      <c r="F257" s="16"/>
      <c r="G257" s="16"/>
      <c r="H257" s="16"/>
      <c r="I257" s="16"/>
      <c r="J257" s="16"/>
      <c r="K257" s="16"/>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row>
    <row r="258" spans="3:36" x14ac:dyDescent="0.3">
      <c r="C258" s="25"/>
      <c r="D258" s="25"/>
      <c r="E258" s="25"/>
      <c r="F258" s="16"/>
      <c r="G258" s="16"/>
      <c r="H258" s="16"/>
      <c r="I258" s="16"/>
      <c r="J258" s="16"/>
      <c r="K258" s="16"/>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row>
    <row r="259" spans="3:36" x14ac:dyDescent="0.3">
      <c r="C259" s="25"/>
      <c r="D259" s="25"/>
      <c r="E259" s="25"/>
      <c r="F259" s="16"/>
      <c r="G259" s="16"/>
      <c r="H259" s="16"/>
      <c r="I259" s="16"/>
      <c r="J259" s="16"/>
      <c r="K259" s="16"/>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row>
    <row r="260" spans="3:36" x14ac:dyDescent="0.3">
      <c r="C260" s="25"/>
      <c r="D260" s="25"/>
      <c r="E260" s="25"/>
      <c r="F260" s="16"/>
      <c r="G260" s="16"/>
      <c r="H260" s="16"/>
      <c r="I260" s="16"/>
      <c r="J260" s="16"/>
      <c r="K260" s="16"/>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row>
    <row r="261" spans="3:36" x14ac:dyDescent="0.3">
      <c r="C261" s="25"/>
      <c r="D261" s="25"/>
      <c r="E261" s="25"/>
      <c r="F261" s="16"/>
      <c r="G261" s="16"/>
      <c r="H261" s="16"/>
      <c r="I261" s="16"/>
      <c r="J261" s="16"/>
      <c r="K261" s="16"/>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row>
    <row r="262" spans="3:36" x14ac:dyDescent="0.3">
      <c r="C262" s="25"/>
      <c r="D262" s="25"/>
      <c r="E262" s="25"/>
      <c r="F262" s="16"/>
      <c r="G262" s="16"/>
      <c r="H262" s="16"/>
      <c r="I262" s="16"/>
      <c r="J262" s="16"/>
      <c r="K262" s="16"/>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row>
    <row r="263" spans="3:36" x14ac:dyDescent="0.3">
      <c r="C263" s="25"/>
      <c r="D263" s="25"/>
      <c r="E263" s="25"/>
      <c r="F263" s="16"/>
      <c r="G263" s="16"/>
      <c r="H263" s="16"/>
      <c r="I263" s="16"/>
      <c r="J263" s="16"/>
      <c r="K263" s="16"/>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row>
    <row r="264" spans="3:36" x14ac:dyDescent="0.3">
      <c r="C264" s="25"/>
      <c r="D264" s="25"/>
      <c r="E264" s="25"/>
      <c r="F264" s="16"/>
      <c r="G264" s="16"/>
      <c r="H264" s="16"/>
      <c r="I264" s="16"/>
      <c r="J264" s="16"/>
      <c r="K264" s="16"/>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row>
    <row r="265" spans="3:36" x14ac:dyDescent="0.3">
      <c r="C265" s="25"/>
      <c r="D265" s="25"/>
      <c r="E265" s="25"/>
      <c r="F265" s="16"/>
      <c r="G265" s="16"/>
      <c r="H265" s="16"/>
      <c r="I265" s="16"/>
      <c r="J265" s="16"/>
      <c r="K265" s="16"/>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row>
    <row r="266" spans="3:36" x14ac:dyDescent="0.3">
      <c r="C266" s="25"/>
      <c r="D266" s="25"/>
      <c r="E266" s="25"/>
      <c r="F266" s="16"/>
      <c r="G266" s="16"/>
      <c r="H266" s="16"/>
      <c r="I266" s="16"/>
      <c r="J266" s="16"/>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row>
    <row r="267" spans="3:36" x14ac:dyDescent="0.3">
      <c r="C267" s="25"/>
      <c r="D267" s="25"/>
      <c r="E267" s="25"/>
      <c r="F267" s="16"/>
      <c r="G267" s="16"/>
      <c r="H267" s="16"/>
      <c r="I267" s="16"/>
      <c r="J267" s="16"/>
      <c r="K267" s="16"/>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row>
    <row r="268" spans="3:36" x14ac:dyDescent="0.3">
      <c r="C268" s="25"/>
      <c r="D268" s="25"/>
      <c r="E268" s="25"/>
      <c r="F268" s="16"/>
      <c r="G268" s="16"/>
      <c r="H268" s="16"/>
      <c r="I268" s="16"/>
      <c r="J268" s="16"/>
      <c r="K268" s="16"/>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row>
    <row r="269" spans="3:36" x14ac:dyDescent="0.3">
      <c r="C269" s="25"/>
      <c r="D269" s="25"/>
      <c r="E269" s="25"/>
      <c r="F269" s="16"/>
      <c r="G269" s="16"/>
      <c r="H269" s="16"/>
      <c r="I269" s="16"/>
      <c r="J269" s="16"/>
      <c r="K269" s="16"/>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row>
    <row r="270" spans="3:36" x14ac:dyDescent="0.3">
      <c r="C270" s="25"/>
      <c r="D270" s="25"/>
      <c r="E270" s="25"/>
      <c r="F270" s="16"/>
      <c r="G270" s="16"/>
      <c r="H270" s="16"/>
      <c r="I270" s="16"/>
      <c r="J270" s="16"/>
      <c r="K270" s="16"/>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row>
    <row r="271" spans="3:36" x14ac:dyDescent="0.3">
      <c r="C271" s="25"/>
      <c r="D271" s="25"/>
      <c r="E271" s="25"/>
      <c r="F271" s="16"/>
      <c r="G271" s="16"/>
      <c r="H271" s="16"/>
      <c r="I271" s="16"/>
      <c r="J271" s="16"/>
      <c r="K271" s="16"/>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row>
    <row r="272" spans="3:36" x14ac:dyDescent="0.3">
      <c r="C272" s="25"/>
      <c r="D272" s="25"/>
      <c r="E272" s="25"/>
      <c r="F272" s="16"/>
      <c r="G272" s="16"/>
      <c r="H272" s="16"/>
      <c r="I272" s="16"/>
      <c r="J272" s="16"/>
      <c r="K272" s="16"/>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row>
    <row r="273" spans="3:36" x14ac:dyDescent="0.3">
      <c r="C273" s="25"/>
      <c r="D273" s="25"/>
      <c r="E273" s="25"/>
      <c r="F273" s="16"/>
      <c r="G273" s="16"/>
      <c r="H273" s="16"/>
      <c r="I273" s="16"/>
      <c r="J273" s="16"/>
      <c r="K273" s="16"/>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row>
    <row r="274" spans="3:36" x14ac:dyDescent="0.3">
      <c r="C274" s="25"/>
      <c r="D274" s="25"/>
      <c r="E274" s="25"/>
      <c r="F274" s="16"/>
      <c r="G274" s="16"/>
      <c r="H274" s="16"/>
      <c r="I274" s="16"/>
      <c r="J274" s="16"/>
      <c r="K274" s="16"/>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row>
    <row r="275" spans="3:36" x14ac:dyDescent="0.3">
      <c r="C275" s="25"/>
      <c r="D275" s="25"/>
      <c r="E275" s="25"/>
      <c r="F275" s="16"/>
      <c r="G275" s="16"/>
      <c r="H275" s="16"/>
      <c r="I275" s="16"/>
      <c r="J275" s="16"/>
      <c r="K275" s="16"/>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row>
    <row r="276" spans="3:36" x14ac:dyDescent="0.3">
      <c r="C276" s="25"/>
      <c r="D276" s="25"/>
      <c r="E276" s="25"/>
      <c r="F276" s="16"/>
      <c r="G276" s="16"/>
      <c r="H276" s="16"/>
      <c r="I276" s="16"/>
      <c r="J276" s="16"/>
      <c r="K276" s="16"/>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row>
    <row r="277" spans="3:36" x14ac:dyDescent="0.3">
      <c r="C277" s="25"/>
      <c r="D277" s="25"/>
      <c r="E277" s="25"/>
      <c r="F277" s="16"/>
      <c r="G277" s="16"/>
      <c r="H277" s="16"/>
      <c r="I277" s="16"/>
      <c r="J277" s="16"/>
      <c r="K277" s="16"/>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row>
    <row r="278" spans="3:36" x14ac:dyDescent="0.3">
      <c r="C278" s="25"/>
      <c r="D278" s="25"/>
      <c r="E278" s="25"/>
      <c r="F278" s="16"/>
      <c r="G278" s="16"/>
      <c r="H278" s="16"/>
      <c r="I278" s="16"/>
      <c r="J278" s="16"/>
      <c r="K278" s="16"/>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row>
    <row r="279" spans="3:36" x14ac:dyDescent="0.3">
      <c r="C279" s="25"/>
      <c r="D279" s="25"/>
      <c r="E279" s="25"/>
      <c r="F279" s="16"/>
      <c r="G279" s="16"/>
      <c r="H279" s="16"/>
      <c r="I279" s="16"/>
      <c r="J279" s="16"/>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row>
    <row r="280" spans="3:36" x14ac:dyDescent="0.3">
      <c r="C280" s="25"/>
      <c r="D280" s="25"/>
      <c r="E280" s="25"/>
      <c r="F280" s="16"/>
      <c r="G280" s="16"/>
      <c r="H280" s="16"/>
      <c r="I280" s="16"/>
      <c r="J280" s="16"/>
      <c r="K280" s="16"/>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row>
    <row r="281" spans="3:36" x14ac:dyDescent="0.3">
      <c r="C281" s="25"/>
      <c r="D281" s="25"/>
      <c r="E281" s="25"/>
      <c r="F281" s="16"/>
      <c r="G281" s="16"/>
      <c r="H281" s="16"/>
      <c r="I281" s="16"/>
      <c r="J281" s="16"/>
      <c r="K281" s="16"/>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row>
    <row r="282" spans="3:36" x14ac:dyDescent="0.3">
      <c r="C282" s="25"/>
      <c r="D282" s="25"/>
      <c r="E282" s="25"/>
      <c r="F282" s="16"/>
      <c r="G282" s="16"/>
      <c r="H282" s="16"/>
      <c r="I282" s="16"/>
      <c r="J282" s="16"/>
      <c r="K282" s="16"/>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row>
    <row r="283" spans="3:36" x14ac:dyDescent="0.3">
      <c r="C283" s="25"/>
      <c r="D283" s="25"/>
      <c r="E283" s="25"/>
      <c r="F283" s="16"/>
      <c r="G283" s="16"/>
      <c r="H283" s="16"/>
      <c r="I283" s="16"/>
      <c r="J283" s="16"/>
      <c r="K283" s="16"/>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row>
    <row r="284" spans="3:36" x14ac:dyDescent="0.3">
      <c r="C284" s="25"/>
      <c r="D284" s="25"/>
      <c r="E284" s="25"/>
      <c r="F284" s="16"/>
      <c r="G284" s="16"/>
      <c r="H284" s="16"/>
      <c r="I284" s="16"/>
      <c r="J284" s="16"/>
      <c r="K284" s="16"/>
      <c r="L284" s="16"/>
      <c r="M284" s="16"/>
      <c r="N284" s="16"/>
      <c r="O284" s="16"/>
      <c r="P284" s="16"/>
      <c r="Q284" s="16"/>
      <c r="R284" s="16"/>
      <c r="S284" s="16"/>
      <c r="T284" s="16"/>
      <c r="U284" s="16"/>
      <c r="V284" s="16"/>
      <c r="W284" s="16"/>
      <c r="X284" s="16"/>
      <c r="Y284" s="16"/>
      <c r="Z284" s="16"/>
      <c r="AA284" s="16"/>
      <c r="AB284" s="16"/>
      <c r="AC284" s="16"/>
      <c r="AD284" s="16"/>
      <c r="AE284" s="16"/>
      <c r="AF284" s="16"/>
      <c r="AG284" s="16"/>
      <c r="AH284" s="16"/>
      <c r="AI284" s="16"/>
      <c r="AJ284" s="16"/>
    </row>
    <row r="285" spans="3:36" x14ac:dyDescent="0.3">
      <c r="C285" s="25"/>
      <c r="D285" s="25"/>
      <c r="E285" s="25"/>
      <c r="F285" s="16"/>
      <c r="G285" s="16"/>
      <c r="H285" s="16"/>
      <c r="I285" s="16"/>
      <c r="J285" s="16"/>
      <c r="K285" s="16"/>
      <c r="L285" s="16"/>
      <c r="M285" s="16"/>
      <c r="N285" s="16"/>
      <c r="O285" s="16"/>
      <c r="P285" s="16"/>
      <c r="Q285" s="16"/>
      <c r="R285" s="16"/>
      <c r="S285" s="16"/>
      <c r="T285" s="16"/>
      <c r="U285" s="16"/>
      <c r="V285" s="16"/>
      <c r="W285" s="16"/>
      <c r="X285" s="16"/>
      <c r="Y285" s="16"/>
      <c r="Z285" s="16"/>
      <c r="AA285" s="16"/>
      <c r="AB285" s="16"/>
      <c r="AC285" s="16"/>
      <c r="AD285" s="16"/>
      <c r="AE285" s="16"/>
      <c r="AF285" s="16"/>
      <c r="AG285" s="16"/>
      <c r="AH285" s="16"/>
      <c r="AI285" s="16"/>
      <c r="AJ285" s="16"/>
    </row>
    <row r="286" spans="3:36" x14ac:dyDescent="0.3">
      <c r="C286" s="25"/>
      <c r="D286" s="25"/>
      <c r="E286" s="25"/>
      <c r="F286" s="16"/>
      <c r="G286" s="16"/>
      <c r="H286" s="16"/>
      <c r="I286" s="16"/>
      <c r="J286" s="16"/>
      <c r="K286" s="16"/>
      <c r="L286" s="16"/>
      <c r="M286" s="16"/>
      <c r="N286" s="16"/>
      <c r="O286" s="16"/>
      <c r="P286" s="16"/>
      <c r="Q286" s="16"/>
      <c r="R286" s="16"/>
      <c r="S286" s="16"/>
      <c r="T286" s="16"/>
      <c r="U286" s="16"/>
      <c r="V286" s="16"/>
      <c r="W286" s="16"/>
      <c r="X286" s="16"/>
      <c r="Y286" s="16"/>
      <c r="Z286" s="16"/>
      <c r="AA286" s="16"/>
      <c r="AB286" s="16"/>
      <c r="AC286" s="16"/>
      <c r="AD286" s="16"/>
      <c r="AE286" s="16"/>
      <c r="AF286" s="16"/>
      <c r="AG286" s="16"/>
      <c r="AH286" s="16"/>
      <c r="AI286" s="16"/>
      <c r="AJ286" s="16"/>
    </row>
    <row r="287" spans="3:36" x14ac:dyDescent="0.3">
      <c r="C287" s="25"/>
      <c r="D287" s="25"/>
      <c r="E287" s="25"/>
      <c r="J287" s="16"/>
      <c r="K287" s="16"/>
      <c r="L287" s="16"/>
      <c r="M287" s="16"/>
      <c r="N287" s="16"/>
      <c r="O287" s="16"/>
      <c r="P287" s="16"/>
      <c r="Q287" s="16"/>
      <c r="R287" s="16"/>
      <c r="S287" s="16"/>
      <c r="T287" s="16"/>
      <c r="U287" s="16"/>
      <c r="V287" s="16"/>
      <c r="W287" s="16"/>
      <c r="X287" s="16"/>
      <c r="Y287" s="16"/>
      <c r="Z287" s="16"/>
      <c r="AA287" s="16"/>
      <c r="AB287" s="16"/>
      <c r="AC287" s="16"/>
      <c r="AD287" s="16"/>
      <c r="AE287" s="16"/>
      <c r="AF287" s="16"/>
      <c r="AG287" s="16"/>
      <c r="AH287" s="16"/>
      <c r="AI287" s="16"/>
      <c r="AJ287" s="16"/>
    </row>
    <row r="288" spans="3:36" x14ac:dyDescent="0.3">
      <c r="C288" s="25"/>
      <c r="D288" s="25"/>
      <c r="E288" s="25"/>
      <c r="J288" s="16"/>
      <c r="K288" s="16"/>
      <c r="L288" s="16"/>
      <c r="M288" s="16"/>
      <c r="N288" s="16"/>
      <c r="O288" s="16"/>
      <c r="P288" s="16"/>
      <c r="Q288" s="16"/>
      <c r="R288" s="16"/>
      <c r="S288" s="16"/>
      <c r="T288" s="16"/>
      <c r="U288" s="16"/>
      <c r="V288" s="16"/>
      <c r="W288" s="16"/>
      <c r="X288" s="16"/>
      <c r="Y288" s="16"/>
      <c r="Z288" s="16"/>
      <c r="AA288" s="16"/>
      <c r="AB288" s="16"/>
      <c r="AC288" s="16"/>
      <c r="AD288" s="16"/>
      <c r="AE288" s="16"/>
      <c r="AF288" s="16"/>
      <c r="AG288" s="16"/>
      <c r="AH288" s="16"/>
      <c r="AI288" s="16"/>
      <c r="AJ288" s="16"/>
    </row>
    <row r="289" spans="3:36" x14ac:dyDescent="0.3">
      <c r="C289" s="25"/>
      <c r="D289" s="25"/>
      <c r="E289" s="25"/>
      <c r="J289" s="16"/>
      <c r="K289" s="16"/>
      <c r="L289" s="16"/>
      <c r="M289" s="16"/>
      <c r="N289" s="16"/>
      <c r="O289" s="16"/>
      <c r="P289" s="16"/>
      <c r="Q289" s="16"/>
      <c r="R289" s="16"/>
      <c r="S289" s="16"/>
      <c r="T289" s="16"/>
      <c r="U289" s="16"/>
      <c r="V289" s="16"/>
      <c r="W289" s="16"/>
      <c r="X289" s="16"/>
      <c r="Y289" s="16"/>
      <c r="Z289" s="16"/>
      <c r="AA289" s="16"/>
      <c r="AB289" s="16"/>
      <c r="AC289" s="16"/>
      <c r="AD289" s="16"/>
      <c r="AE289" s="16"/>
      <c r="AF289" s="16"/>
      <c r="AG289" s="16"/>
      <c r="AH289" s="16"/>
      <c r="AI289" s="16"/>
      <c r="AJ289" s="16"/>
    </row>
    <row r="290" spans="3:36" x14ac:dyDescent="0.3">
      <c r="C290" s="25"/>
      <c r="D290" s="25"/>
      <c r="E290" s="25"/>
      <c r="J290" s="16"/>
      <c r="K290" s="16"/>
      <c r="L290" s="16"/>
      <c r="M290" s="16"/>
      <c r="N290" s="16"/>
      <c r="O290" s="16"/>
      <c r="P290" s="16"/>
      <c r="Q290" s="16"/>
      <c r="R290" s="16"/>
      <c r="S290" s="16"/>
      <c r="T290" s="16"/>
      <c r="U290" s="16"/>
      <c r="V290" s="16"/>
      <c r="W290" s="16"/>
      <c r="X290" s="16"/>
      <c r="Y290" s="16"/>
      <c r="Z290" s="16"/>
      <c r="AA290" s="16"/>
      <c r="AB290" s="16"/>
      <c r="AC290" s="16"/>
      <c r="AD290" s="16"/>
      <c r="AE290" s="16"/>
      <c r="AF290" s="16"/>
      <c r="AG290" s="16"/>
      <c r="AH290" s="16"/>
      <c r="AI290" s="16"/>
      <c r="AJ290" s="16"/>
    </row>
    <row r="291" spans="3:36" x14ac:dyDescent="0.3">
      <c r="C291" s="25"/>
      <c r="D291" s="25"/>
      <c r="E291" s="25"/>
      <c r="J291" s="16"/>
      <c r="K291" s="16"/>
      <c r="L291" s="16"/>
      <c r="M291" s="16"/>
      <c r="N291" s="16"/>
      <c r="O291" s="16"/>
      <c r="P291" s="16"/>
      <c r="Q291" s="16"/>
      <c r="R291" s="16"/>
      <c r="S291" s="16"/>
      <c r="T291" s="16"/>
      <c r="U291" s="16"/>
      <c r="V291" s="16"/>
      <c r="W291" s="16"/>
      <c r="X291" s="16"/>
      <c r="Y291" s="16"/>
      <c r="Z291" s="16"/>
      <c r="AA291" s="16"/>
      <c r="AB291" s="16"/>
      <c r="AC291" s="16"/>
      <c r="AD291" s="16"/>
      <c r="AE291" s="16"/>
      <c r="AF291" s="16"/>
      <c r="AG291" s="16"/>
      <c r="AH291" s="16"/>
      <c r="AI291" s="16"/>
      <c r="AJ291" s="16"/>
    </row>
    <row r="292" spans="3:36" x14ac:dyDescent="0.3">
      <c r="C292" s="25"/>
      <c r="D292" s="25"/>
      <c r="E292" s="25"/>
      <c r="J292" s="16"/>
      <c r="K292" s="16"/>
      <c r="L292" s="16"/>
      <c r="M292" s="16"/>
      <c r="N292" s="16"/>
      <c r="O292" s="16"/>
      <c r="P292" s="16"/>
      <c r="Q292" s="16"/>
      <c r="R292" s="16"/>
      <c r="S292" s="16"/>
      <c r="T292" s="16"/>
      <c r="U292" s="16"/>
      <c r="V292" s="16"/>
      <c r="W292" s="16"/>
      <c r="X292" s="16"/>
      <c r="Y292" s="16"/>
      <c r="Z292" s="16"/>
      <c r="AA292" s="16"/>
      <c r="AB292" s="16"/>
      <c r="AC292" s="16"/>
      <c r="AD292" s="16"/>
      <c r="AE292" s="16"/>
      <c r="AF292" s="16"/>
      <c r="AG292" s="16"/>
      <c r="AH292" s="16"/>
      <c r="AI292" s="16"/>
      <c r="AJ292" s="16"/>
    </row>
    <row r="293" spans="3:36" x14ac:dyDescent="0.3">
      <c r="C293" s="25"/>
      <c r="D293" s="25"/>
      <c r="E293" s="25"/>
      <c r="J293" s="16"/>
      <c r="K293" s="16"/>
      <c r="L293" s="16"/>
      <c r="M293" s="16"/>
      <c r="N293" s="16"/>
      <c r="O293" s="16"/>
      <c r="P293" s="16"/>
      <c r="Q293" s="16"/>
      <c r="R293" s="16"/>
      <c r="S293" s="16"/>
      <c r="T293" s="16"/>
      <c r="U293" s="16"/>
      <c r="V293" s="16"/>
      <c r="W293" s="16"/>
      <c r="X293" s="16"/>
      <c r="Y293" s="16"/>
      <c r="Z293" s="16"/>
      <c r="AA293" s="16"/>
      <c r="AB293" s="16"/>
      <c r="AC293" s="16"/>
      <c r="AD293" s="16"/>
      <c r="AE293" s="16"/>
      <c r="AF293" s="16"/>
      <c r="AG293" s="16"/>
      <c r="AH293" s="16"/>
      <c r="AI293" s="16"/>
      <c r="AJ293" s="16"/>
    </row>
    <row r="294" spans="3:36" x14ac:dyDescent="0.3">
      <c r="C294" s="25"/>
      <c r="D294" s="25"/>
      <c r="E294" s="25"/>
      <c r="J294" s="16"/>
      <c r="K294" s="16"/>
      <c r="L294" s="16"/>
      <c r="M294" s="16"/>
      <c r="N294" s="16"/>
      <c r="O294" s="16"/>
      <c r="P294" s="16"/>
      <c r="Q294" s="16"/>
      <c r="R294" s="16"/>
      <c r="S294" s="16"/>
      <c r="T294" s="16"/>
      <c r="U294" s="16"/>
      <c r="V294" s="16"/>
      <c r="W294" s="16"/>
      <c r="X294" s="16"/>
      <c r="Y294" s="16"/>
      <c r="Z294" s="16"/>
      <c r="AA294" s="16"/>
      <c r="AB294" s="16"/>
      <c r="AC294" s="16"/>
      <c r="AD294" s="16"/>
      <c r="AE294" s="16"/>
      <c r="AF294" s="16"/>
      <c r="AG294" s="16"/>
      <c r="AH294" s="16"/>
      <c r="AI294" s="16"/>
      <c r="AJ294" s="16"/>
    </row>
    <row r="295" spans="3:36" x14ac:dyDescent="0.3">
      <c r="C295" s="25"/>
      <c r="D295" s="25"/>
      <c r="E295" s="25"/>
      <c r="J295" s="16"/>
      <c r="K295" s="16"/>
      <c r="L295" s="16"/>
      <c r="M295" s="16"/>
      <c r="N295" s="16"/>
      <c r="O295" s="16"/>
      <c r="P295" s="16"/>
      <c r="Q295" s="16"/>
      <c r="R295" s="16"/>
      <c r="S295" s="16"/>
      <c r="T295" s="16"/>
      <c r="U295" s="16"/>
      <c r="V295" s="16"/>
      <c r="W295" s="16"/>
      <c r="X295" s="16"/>
      <c r="Y295" s="16"/>
      <c r="Z295" s="16"/>
      <c r="AA295" s="16"/>
      <c r="AB295" s="16"/>
      <c r="AC295" s="16"/>
      <c r="AD295" s="16"/>
      <c r="AE295" s="16"/>
      <c r="AF295" s="16"/>
      <c r="AG295" s="16"/>
      <c r="AH295" s="16"/>
      <c r="AI295" s="16"/>
      <c r="AJ295" s="16"/>
    </row>
    <row r="296" spans="3:36" x14ac:dyDescent="0.3">
      <c r="C296" s="25"/>
      <c r="D296" s="25"/>
      <c r="E296" s="25"/>
      <c r="J296" s="16"/>
      <c r="K296" s="16"/>
      <c r="L296" s="16"/>
      <c r="M296" s="16"/>
      <c r="N296" s="16"/>
      <c r="O296" s="16"/>
      <c r="P296" s="16"/>
      <c r="Q296" s="16"/>
      <c r="R296" s="16"/>
      <c r="S296" s="16"/>
      <c r="T296" s="16"/>
      <c r="U296" s="16"/>
      <c r="V296" s="16"/>
      <c r="W296" s="16"/>
      <c r="X296" s="16"/>
      <c r="Y296" s="16"/>
      <c r="Z296" s="16"/>
      <c r="AA296" s="16"/>
      <c r="AB296" s="16"/>
      <c r="AC296" s="16"/>
      <c r="AD296" s="16"/>
      <c r="AE296" s="16"/>
      <c r="AF296" s="16"/>
      <c r="AG296" s="16"/>
      <c r="AH296" s="16"/>
      <c r="AI296" s="16"/>
      <c r="AJ296" s="16"/>
    </row>
    <row r="297" spans="3:36" x14ac:dyDescent="0.3">
      <c r="C297" s="25"/>
      <c r="D297" s="25"/>
      <c r="E297" s="25"/>
      <c r="J297" s="16"/>
      <c r="K297" s="16"/>
      <c r="L297" s="16"/>
      <c r="M297" s="16"/>
      <c r="N297" s="16"/>
      <c r="O297" s="16"/>
      <c r="P297" s="16"/>
      <c r="Q297" s="16"/>
      <c r="R297" s="16"/>
      <c r="S297" s="16"/>
      <c r="T297" s="16"/>
      <c r="U297" s="16"/>
      <c r="V297" s="16"/>
      <c r="W297" s="16"/>
      <c r="X297" s="16"/>
      <c r="Y297" s="16"/>
      <c r="Z297" s="16"/>
      <c r="AA297" s="16"/>
      <c r="AB297" s="16"/>
      <c r="AC297" s="16"/>
      <c r="AD297" s="16"/>
      <c r="AE297" s="16"/>
      <c r="AF297" s="16"/>
      <c r="AG297" s="16"/>
      <c r="AH297" s="16"/>
      <c r="AI297" s="16"/>
      <c r="AJ297" s="16"/>
    </row>
    <row r="298" spans="3:36" x14ac:dyDescent="0.3">
      <c r="C298" s="25"/>
      <c r="D298" s="25"/>
      <c r="E298" s="25"/>
      <c r="J298" s="16"/>
      <c r="K298" s="16"/>
      <c r="L298" s="16"/>
      <c r="M298" s="16"/>
      <c r="N298" s="16"/>
      <c r="O298" s="16"/>
      <c r="P298" s="16"/>
      <c r="Q298" s="16"/>
      <c r="R298" s="16"/>
      <c r="S298" s="16"/>
      <c r="T298" s="16"/>
      <c r="U298" s="16"/>
      <c r="V298" s="16"/>
      <c r="W298" s="16"/>
      <c r="X298" s="16"/>
      <c r="Y298" s="16"/>
      <c r="Z298" s="16"/>
      <c r="AA298" s="16"/>
      <c r="AB298" s="16"/>
      <c r="AC298" s="16"/>
      <c r="AD298" s="16"/>
      <c r="AE298" s="16"/>
      <c r="AF298" s="16"/>
      <c r="AG298" s="16"/>
      <c r="AH298" s="16"/>
      <c r="AI298" s="16"/>
      <c r="AJ298" s="16"/>
    </row>
    <row r="299" spans="3:36" x14ac:dyDescent="0.3">
      <c r="C299" s="25"/>
      <c r="D299" s="25"/>
      <c r="E299" s="25"/>
      <c r="J299" s="16"/>
      <c r="K299" s="16"/>
      <c r="L299" s="16"/>
      <c r="M299" s="16"/>
      <c r="N299" s="16"/>
      <c r="O299" s="16"/>
      <c r="P299" s="16"/>
      <c r="Q299" s="16"/>
      <c r="R299" s="16"/>
      <c r="S299" s="16"/>
      <c r="T299" s="16"/>
      <c r="U299" s="16"/>
      <c r="V299" s="16"/>
      <c r="W299" s="16"/>
      <c r="X299" s="16"/>
      <c r="Y299" s="16"/>
      <c r="Z299" s="16"/>
      <c r="AA299" s="16"/>
      <c r="AB299" s="16"/>
      <c r="AC299" s="16"/>
      <c r="AD299" s="16"/>
      <c r="AE299" s="16"/>
      <c r="AF299" s="16"/>
      <c r="AG299" s="16"/>
      <c r="AH299" s="16"/>
      <c r="AI299" s="16"/>
      <c r="AJ299" s="16"/>
    </row>
    <row r="300" spans="3:36" x14ac:dyDescent="0.3">
      <c r="C300" s="25"/>
      <c r="D300" s="25"/>
      <c r="E300" s="25"/>
      <c r="J300" s="16"/>
      <c r="K300" s="16"/>
      <c r="L300" s="16"/>
      <c r="M300" s="16"/>
      <c r="N300" s="16"/>
      <c r="O300" s="16"/>
      <c r="P300" s="16"/>
      <c r="Q300" s="16"/>
      <c r="R300" s="16"/>
      <c r="S300" s="16"/>
      <c r="T300" s="16"/>
      <c r="U300" s="16"/>
      <c r="V300" s="16"/>
      <c r="W300" s="16"/>
      <c r="X300" s="16"/>
      <c r="Y300" s="16"/>
      <c r="Z300" s="16"/>
      <c r="AA300" s="16"/>
      <c r="AB300" s="16"/>
      <c r="AC300" s="16"/>
      <c r="AD300" s="16"/>
      <c r="AE300" s="16"/>
      <c r="AF300" s="16"/>
      <c r="AG300" s="16"/>
      <c r="AH300" s="16"/>
      <c r="AI300" s="16"/>
      <c r="AJ300" s="16"/>
    </row>
    <row r="301" spans="3:36" x14ac:dyDescent="0.3">
      <c r="C301" s="25"/>
      <c r="D301" s="25"/>
      <c r="E301" s="25"/>
      <c r="J301" s="16"/>
      <c r="K301" s="16"/>
      <c r="L301" s="16"/>
      <c r="M301" s="16"/>
      <c r="N301" s="16"/>
      <c r="O301" s="16"/>
      <c r="P301" s="16"/>
      <c r="Q301" s="16"/>
      <c r="R301" s="16"/>
      <c r="S301" s="16"/>
      <c r="T301" s="16"/>
      <c r="U301" s="16"/>
      <c r="V301" s="16"/>
      <c r="W301" s="16"/>
      <c r="X301" s="16"/>
      <c r="Y301" s="16"/>
      <c r="Z301" s="16"/>
      <c r="AA301" s="16"/>
      <c r="AB301" s="16"/>
      <c r="AC301" s="16"/>
      <c r="AD301" s="16"/>
      <c r="AE301" s="16"/>
      <c r="AF301" s="16"/>
      <c r="AG301" s="16"/>
      <c r="AH301" s="16"/>
      <c r="AI301" s="16"/>
      <c r="AJ301" s="16"/>
    </row>
    <row r="302" spans="3:36" x14ac:dyDescent="0.3">
      <c r="C302" s="25"/>
      <c r="D302" s="25"/>
      <c r="E302" s="25"/>
      <c r="J302" s="16"/>
      <c r="K302" s="16"/>
      <c r="L302" s="16"/>
      <c r="M302" s="16"/>
      <c r="N302" s="16"/>
      <c r="O302" s="16"/>
      <c r="P302" s="16"/>
      <c r="Q302" s="16"/>
      <c r="R302" s="16"/>
      <c r="S302" s="16"/>
      <c r="T302" s="16"/>
      <c r="U302" s="16"/>
      <c r="V302" s="16"/>
      <c r="W302" s="16"/>
      <c r="X302" s="16"/>
      <c r="Y302" s="16"/>
      <c r="Z302" s="16"/>
      <c r="AA302" s="16"/>
      <c r="AB302" s="16"/>
      <c r="AC302" s="16"/>
      <c r="AD302" s="16"/>
      <c r="AE302" s="16"/>
      <c r="AF302" s="16"/>
      <c r="AG302" s="16"/>
      <c r="AH302" s="16"/>
      <c r="AI302" s="16"/>
      <c r="AJ302" s="16"/>
    </row>
    <row r="303" spans="3:36" x14ac:dyDescent="0.3">
      <c r="C303" s="25"/>
      <c r="D303" s="25"/>
      <c r="E303" s="25"/>
      <c r="J303" s="16"/>
      <c r="K303" s="16"/>
      <c r="L303" s="16"/>
      <c r="M303" s="16"/>
      <c r="N303" s="16"/>
      <c r="O303" s="16"/>
      <c r="P303" s="16"/>
      <c r="Q303" s="16"/>
      <c r="R303" s="16"/>
      <c r="S303" s="16"/>
      <c r="T303" s="16"/>
      <c r="U303" s="16"/>
      <c r="V303" s="16"/>
      <c r="W303" s="16"/>
      <c r="X303" s="16"/>
      <c r="Y303" s="16"/>
      <c r="Z303" s="16"/>
      <c r="AA303" s="16"/>
      <c r="AB303" s="16"/>
      <c r="AC303" s="16"/>
      <c r="AD303" s="16"/>
      <c r="AE303" s="16"/>
      <c r="AF303" s="16"/>
      <c r="AG303" s="16"/>
      <c r="AH303" s="16"/>
      <c r="AI303" s="16"/>
      <c r="AJ303" s="16"/>
    </row>
    <row r="304" spans="3:36" x14ac:dyDescent="0.3">
      <c r="C304" s="25"/>
      <c r="D304" s="25"/>
      <c r="E304" s="25"/>
      <c r="J304" s="16"/>
      <c r="K304" s="16"/>
      <c r="L304" s="16"/>
      <c r="M304" s="16"/>
      <c r="N304" s="16"/>
      <c r="O304" s="16"/>
      <c r="P304" s="16"/>
      <c r="Q304" s="16"/>
      <c r="R304" s="16"/>
      <c r="S304" s="16"/>
      <c r="T304" s="16"/>
      <c r="U304" s="16"/>
      <c r="V304" s="16"/>
      <c r="W304" s="16"/>
      <c r="X304" s="16"/>
      <c r="Y304" s="16"/>
      <c r="Z304" s="16"/>
      <c r="AA304" s="16"/>
      <c r="AB304" s="16"/>
      <c r="AC304" s="16"/>
      <c r="AD304" s="16"/>
      <c r="AE304" s="16"/>
      <c r="AF304" s="16"/>
      <c r="AG304" s="16"/>
      <c r="AH304" s="16"/>
      <c r="AI304" s="16"/>
      <c r="AJ304" s="16"/>
    </row>
    <row r="305" spans="3:36" x14ac:dyDescent="0.3">
      <c r="C305" s="25"/>
      <c r="D305" s="25"/>
      <c r="E305" s="25"/>
      <c r="J305" s="16"/>
      <c r="K305" s="16"/>
      <c r="L305" s="16"/>
      <c r="M305" s="16"/>
      <c r="N305" s="16"/>
      <c r="O305" s="16"/>
      <c r="P305" s="16"/>
      <c r="Q305" s="16"/>
      <c r="R305" s="16"/>
      <c r="S305" s="16"/>
      <c r="T305" s="16"/>
      <c r="U305" s="16"/>
      <c r="V305" s="16"/>
      <c r="W305" s="16"/>
      <c r="X305" s="16"/>
      <c r="Y305" s="16"/>
      <c r="Z305" s="16"/>
      <c r="AA305" s="16"/>
      <c r="AB305" s="16"/>
      <c r="AC305" s="16"/>
      <c r="AD305" s="16"/>
      <c r="AE305" s="16"/>
      <c r="AF305" s="16"/>
      <c r="AG305" s="16"/>
      <c r="AH305" s="16"/>
      <c r="AI305" s="16"/>
      <c r="AJ305" s="16"/>
    </row>
    <row r="306" spans="3:36" x14ac:dyDescent="0.3">
      <c r="C306" s="25"/>
      <c r="D306" s="25"/>
      <c r="E306" s="25"/>
      <c r="J306" s="16"/>
      <c r="K306" s="16"/>
      <c r="L306" s="16"/>
      <c r="M306" s="16"/>
      <c r="N306" s="16"/>
      <c r="O306" s="16"/>
      <c r="P306" s="16"/>
      <c r="Q306" s="16"/>
      <c r="R306" s="16"/>
      <c r="S306" s="16"/>
      <c r="T306" s="16"/>
      <c r="U306" s="16"/>
      <c r="V306" s="16"/>
      <c r="W306" s="16"/>
      <c r="X306" s="16"/>
      <c r="Y306" s="16"/>
      <c r="Z306" s="16"/>
      <c r="AA306" s="16"/>
      <c r="AB306" s="16"/>
      <c r="AC306" s="16"/>
      <c r="AD306" s="16"/>
      <c r="AE306" s="16"/>
      <c r="AF306" s="16"/>
      <c r="AG306" s="16"/>
      <c r="AH306" s="16"/>
      <c r="AI306" s="16"/>
      <c r="AJ306" s="16"/>
    </row>
    <row r="307" spans="3:36" x14ac:dyDescent="0.3">
      <c r="C307" s="25"/>
      <c r="D307" s="25"/>
      <c r="E307" s="25"/>
      <c r="J307" s="16"/>
      <c r="K307" s="16"/>
      <c r="L307" s="16"/>
      <c r="M307" s="16"/>
      <c r="N307" s="16"/>
      <c r="O307" s="16"/>
      <c r="P307" s="16"/>
      <c r="Q307" s="16"/>
      <c r="R307" s="16"/>
      <c r="S307" s="16"/>
      <c r="T307" s="16"/>
      <c r="U307" s="16"/>
      <c r="V307" s="16"/>
      <c r="W307" s="16"/>
      <c r="X307" s="16"/>
      <c r="Y307" s="16"/>
      <c r="Z307" s="16"/>
      <c r="AA307" s="16"/>
      <c r="AB307" s="16"/>
      <c r="AC307" s="16"/>
      <c r="AD307" s="16"/>
      <c r="AE307" s="16"/>
      <c r="AF307" s="16"/>
      <c r="AG307" s="16"/>
      <c r="AH307" s="16"/>
      <c r="AI307" s="16"/>
      <c r="AJ307" s="16"/>
    </row>
    <row r="308" spans="3:36" x14ac:dyDescent="0.3">
      <c r="C308" s="25"/>
      <c r="D308" s="25"/>
      <c r="E308" s="25"/>
      <c r="J308" s="16"/>
      <c r="K308" s="16"/>
      <c r="L308" s="16"/>
      <c r="M308" s="16"/>
      <c r="N308" s="16"/>
      <c r="O308" s="16"/>
      <c r="P308" s="16"/>
      <c r="Q308" s="16"/>
      <c r="R308" s="16"/>
      <c r="S308" s="16"/>
      <c r="T308" s="16"/>
      <c r="U308" s="16"/>
      <c r="V308" s="16"/>
      <c r="W308" s="16"/>
      <c r="X308" s="16"/>
      <c r="Y308" s="16"/>
      <c r="Z308" s="16"/>
      <c r="AA308" s="16"/>
      <c r="AB308" s="16"/>
      <c r="AC308" s="16"/>
      <c r="AD308" s="16"/>
      <c r="AE308" s="16"/>
      <c r="AF308" s="16"/>
      <c r="AG308" s="16"/>
      <c r="AH308" s="16"/>
      <c r="AI308" s="16"/>
      <c r="AJ308" s="16"/>
    </row>
    <row r="309" spans="3:36" x14ac:dyDescent="0.3">
      <c r="C309" s="25"/>
      <c r="D309" s="25"/>
      <c r="E309" s="25"/>
      <c r="J309" s="16"/>
      <c r="K309" s="16"/>
      <c r="L309" s="16"/>
      <c r="M309" s="16"/>
      <c r="N309" s="16"/>
      <c r="O309" s="16"/>
      <c r="P309" s="16"/>
      <c r="Q309" s="16"/>
      <c r="R309" s="16"/>
      <c r="S309" s="16"/>
      <c r="T309" s="16"/>
      <c r="U309" s="16"/>
      <c r="V309" s="16"/>
      <c r="W309" s="16"/>
      <c r="X309" s="16"/>
      <c r="Y309" s="16"/>
      <c r="Z309" s="16"/>
      <c r="AA309" s="16"/>
      <c r="AB309" s="16"/>
      <c r="AC309" s="16"/>
      <c r="AD309" s="16"/>
      <c r="AE309" s="16"/>
      <c r="AF309" s="16"/>
      <c r="AG309" s="16"/>
      <c r="AH309" s="16"/>
      <c r="AI309" s="16"/>
      <c r="AJ309" s="16"/>
    </row>
    <row r="310" spans="3:36" x14ac:dyDescent="0.3">
      <c r="C310" s="25"/>
      <c r="D310" s="25"/>
      <c r="E310" s="25"/>
      <c r="J310" s="16"/>
      <c r="K310" s="16"/>
      <c r="L310" s="16"/>
      <c r="M310" s="16"/>
      <c r="N310" s="16"/>
      <c r="O310" s="16"/>
      <c r="P310" s="16"/>
      <c r="Q310" s="16"/>
      <c r="R310" s="16"/>
      <c r="S310" s="16"/>
      <c r="T310" s="16"/>
      <c r="U310" s="16"/>
      <c r="V310" s="16"/>
      <c r="W310" s="16"/>
      <c r="X310" s="16"/>
      <c r="Y310" s="16"/>
      <c r="Z310" s="16"/>
      <c r="AA310" s="16"/>
      <c r="AB310" s="16"/>
      <c r="AC310" s="16"/>
      <c r="AD310" s="16"/>
      <c r="AE310" s="16"/>
      <c r="AF310" s="16"/>
      <c r="AG310" s="16"/>
      <c r="AH310" s="16"/>
      <c r="AI310" s="16"/>
      <c r="AJ310" s="16"/>
    </row>
    <row r="311" spans="3:36" x14ac:dyDescent="0.3">
      <c r="C311" s="25"/>
      <c r="D311" s="25"/>
      <c r="E311" s="25"/>
      <c r="J311" s="16"/>
      <c r="K311" s="16"/>
      <c r="L311" s="16"/>
      <c r="M311" s="16"/>
      <c r="N311" s="16"/>
      <c r="O311" s="16"/>
      <c r="P311" s="16"/>
      <c r="Q311" s="16"/>
      <c r="R311" s="16"/>
      <c r="S311" s="16"/>
      <c r="T311" s="16"/>
      <c r="U311" s="16"/>
      <c r="V311" s="16"/>
      <c r="W311" s="16"/>
      <c r="X311" s="16"/>
      <c r="Y311" s="16"/>
      <c r="Z311" s="16"/>
      <c r="AA311" s="16"/>
      <c r="AB311" s="16"/>
      <c r="AC311" s="16"/>
      <c r="AD311" s="16"/>
      <c r="AE311" s="16"/>
      <c r="AF311" s="16"/>
      <c r="AG311" s="16"/>
      <c r="AH311" s="16"/>
      <c r="AI311" s="16"/>
      <c r="AJ311" s="16"/>
    </row>
    <row r="312" spans="3:36" x14ac:dyDescent="0.3">
      <c r="C312" s="25"/>
      <c r="D312" s="25"/>
      <c r="E312" s="25"/>
      <c r="J312" s="16"/>
      <c r="K312" s="16"/>
      <c r="L312" s="16"/>
      <c r="M312" s="16"/>
      <c r="N312" s="16"/>
      <c r="O312" s="16"/>
      <c r="P312" s="16"/>
      <c r="Q312" s="16"/>
      <c r="R312" s="16"/>
      <c r="S312" s="16"/>
      <c r="T312" s="16"/>
      <c r="U312" s="16"/>
      <c r="V312" s="16"/>
      <c r="W312" s="16"/>
      <c r="X312" s="16"/>
      <c r="Y312" s="16"/>
      <c r="Z312" s="16"/>
      <c r="AA312" s="16"/>
      <c r="AB312" s="16"/>
      <c r="AC312" s="16"/>
      <c r="AD312" s="16"/>
      <c r="AE312" s="16"/>
      <c r="AF312" s="16"/>
      <c r="AG312" s="16"/>
      <c r="AH312" s="16"/>
      <c r="AI312" s="16"/>
      <c r="AJ312" s="16"/>
    </row>
    <row r="313" spans="3:36" x14ac:dyDescent="0.3">
      <c r="C313" s="25"/>
      <c r="D313" s="25"/>
      <c r="E313" s="25"/>
      <c r="J313" s="16"/>
      <c r="K313" s="16"/>
      <c r="L313" s="16"/>
      <c r="M313" s="16"/>
      <c r="N313" s="16"/>
      <c r="O313" s="16"/>
      <c r="P313" s="16"/>
      <c r="Q313" s="16"/>
      <c r="R313" s="16"/>
      <c r="S313" s="16"/>
      <c r="T313" s="16"/>
      <c r="U313" s="16"/>
      <c r="V313" s="16"/>
      <c r="W313" s="16"/>
      <c r="X313" s="16"/>
      <c r="Y313" s="16"/>
      <c r="Z313" s="16"/>
      <c r="AA313" s="16"/>
      <c r="AB313" s="16"/>
      <c r="AC313" s="16"/>
      <c r="AD313" s="16"/>
      <c r="AE313" s="16"/>
      <c r="AF313" s="16"/>
      <c r="AG313" s="16"/>
      <c r="AH313" s="16"/>
      <c r="AI313" s="16"/>
      <c r="AJ313" s="16"/>
    </row>
    <row r="314" spans="3:36" x14ac:dyDescent="0.3">
      <c r="C314" s="25"/>
      <c r="D314" s="25"/>
      <c r="E314" s="25"/>
      <c r="J314" s="16"/>
      <c r="K314" s="16"/>
      <c r="L314" s="16"/>
      <c r="M314" s="16"/>
      <c r="N314" s="16"/>
      <c r="O314" s="16"/>
      <c r="P314" s="16"/>
      <c r="Q314" s="16"/>
      <c r="R314" s="16"/>
      <c r="S314" s="16"/>
      <c r="T314" s="16"/>
      <c r="U314" s="16"/>
      <c r="V314" s="16"/>
      <c r="W314" s="16"/>
      <c r="X314" s="16"/>
      <c r="Y314" s="16"/>
      <c r="Z314" s="16"/>
      <c r="AA314" s="16"/>
      <c r="AB314" s="16"/>
      <c r="AC314" s="16"/>
      <c r="AD314" s="16"/>
      <c r="AE314" s="16"/>
      <c r="AF314" s="16"/>
      <c r="AG314" s="16"/>
      <c r="AH314" s="16"/>
      <c r="AI314" s="16"/>
      <c r="AJ314" s="16"/>
    </row>
    <row r="315" spans="3:36" x14ac:dyDescent="0.3">
      <c r="C315" s="25"/>
      <c r="D315" s="25"/>
      <c r="E315" s="25"/>
      <c r="J315" s="16"/>
      <c r="K315" s="16"/>
      <c r="L315" s="16"/>
      <c r="M315" s="16"/>
      <c r="N315" s="16"/>
      <c r="O315" s="16"/>
      <c r="P315" s="16"/>
      <c r="Q315" s="16"/>
      <c r="R315" s="16"/>
      <c r="S315" s="16"/>
      <c r="T315" s="16"/>
      <c r="U315" s="16"/>
      <c r="V315" s="16"/>
      <c r="W315" s="16"/>
      <c r="X315" s="16"/>
      <c r="Y315" s="16"/>
      <c r="Z315" s="16"/>
      <c r="AA315" s="16"/>
      <c r="AB315" s="16"/>
      <c r="AC315" s="16"/>
      <c r="AD315" s="16"/>
      <c r="AE315" s="16"/>
      <c r="AF315" s="16"/>
      <c r="AG315" s="16"/>
      <c r="AH315" s="16"/>
      <c r="AI315" s="16"/>
      <c r="AJ315" s="16"/>
    </row>
    <row r="316" spans="3:36" x14ac:dyDescent="0.3">
      <c r="C316" s="25"/>
      <c r="D316" s="25"/>
      <c r="E316" s="25"/>
      <c r="J316" s="16"/>
      <c r="K316" s="16"/>
      <c r="L316" s="16"/>
      <c r="M316" s="16"/>
      <c r="N316" s="16"/>
      <c r="O316" s="16"/>
      <c r="P316" s="16"/>
      <c r="Q316" s="16"/>
      <c r="R316" s="16"/>
      <c r="S316" s="16"/>
      <c r="T316" s="16"/>
      <c r="U316" s="16"/>
      <c r="V316" s="16"/>
      <c r="W316" s="16"/>
      <c r="X316" s="16"/>
      <c r="Y316" s="16"/>
      <c r="Z316" s="16"/>
      <c r="AA316" s="16"/>
      <c r="AB316" s="16"/>
      <c r="AC316" s="16"/>
      <c r="AD316" s="16"/>
      <c r="AE316" s="16"/>
      <c r="AF316" s="16"/>
      <c r="AG316" s="16"/>
      <c r="AH316" s="16"/>
      <c r="AI316" s="16"/>
      <c r="AJ316" s="16"/>
    </row>
    <row r="317" spans="3:36" x14ac:dyDescent="0.3">
      <c r="C317" s="25"/>
      <c r="D317" s="25"/>
      <c r="E317" s="25"/>
      <c r="J317" s="16"/>
      <c r="K317" s="16"/>
      <c r="L317" s="16"/>
      <c r="M317" s="16"/>
      <c r="N317" s="16"/>
      <c r="O317" s="16"/>
      <c r="P317" s="16"/>
      <c r="Q317" s="16"/>
      <c r="R317" s="16"/>
      <c r="S317" s="16"/>
      <c r="T317" s="16"/>
      <c r="U317" s="16"/>
      <c r="V317" s="16"/>
      <c r="W317" s="16"/>
      <c r="X317" s="16"/>
      <c r="Y317" s="16"/>
      <c r="Z317" s="16"/>
      <c r="AA317" s="16"/>
      <c r="AB317" s="16"/>
      <c r="AC317" s="16"/>
      <c r="AD317" s="16"/>
      <c r="AE317" s="16"/>
      <c r="AF317" s="16"/>
      <c r="AG317" s="16"/>
      <c r="AH317" s="16"/>
      <c r="AI317" s="16"/>
      <c r="AJ317" s="16"/>
    </row>
    <row r="318" spans="3:36" x14ac:dyDescent="0.3">
      <c r="C318" s="25"/>
      <c r="D318" s="25"/>
      <c r="E318" s="25"/>
      <c r="J318" s="16"/>
      <c r="K318" s="16"/>
      <c r="L318" s="16"/>
      <c r="M318" s="16"/>
      <c r="N318" s="16"/>
      <c r="O318" s="16"/>
      <c r="P318" s="16"/>
      <c r="Q318" s="16"/>
      <c r="R318" s="16"/>
      <c r="S318" s="16"/>
      <c r="T318" s="16"/>
      <c r="U318" s="16"/>
      <c r="V318" s="16"/>
      <c r="W318" s="16"/>
      <c r="X318" s="16"/>
      <c r="Y318" s="16"/>
      <c r="Z318" s="16"/>
      <c r="AA318" s="16"/>
      <c r="AB318" s="16"/>
      <c r="AC318" s="16"/>
      <c r="AD318" s="16"/>
      <c r="AE318" s="16"/>
      <c r="AF318" s="16"/>
      <c r="AG318" s="16"/>
      <c r="AH318" s="16"/>
      <c r="AI318" s="16"/>
      <c r="AJ318" s="16"/>
    </row>
    <row r="319" spans="3:36" x14ac:dyDescent="0.3">
      <c r="C319" s="25"/>
      <c r="D319" s="25"/>
      <c r="E319" s="25"/>
      <c r="J319" s="16"/>
      <c r="K319" s="16"/>
      <c r="L319" s="16"/>
      <c r="M319" s="16"/>
      <c r="N319" s="16"/>
      <c r="O319" s="16"/>
      <c r="P319" s="16"/>
      <c r="Q319" s="16"/>
      <c r="R319" s="16"/>
      <c r="S319" s="16"/>
      <c r="T319" s="16"/>
      <c r="U319" s="16"/>
      <c r="V319" s="16"/>
      <c r="W319" s="16"/>
      <c r="X319" s="16"/>
      <c r="Y319" s="16"/>
      <c r="Z319" s="16"/>
      <c r="AA319" s="16"/>
      <c r="AB319" s="16"/>
      <c r="AC319" s="16"/>
      <c r="AD319" s="16"/>
      <c r="AE319" s="16"/>
      <c r="AF319" s="16"/>
      <c r="AG319" s="16"/>
      <c r="AH319" s="16"/>
      <c r="AI319" s="16"/>
      <c r="AJ319" s="16"/>
    </row>
    <row r="320" spans="3:36" x14ac:dyDescent="0.3">
      <c r="C320" s="25"/>
      <c r="D320" s="25"/>
      <c r="E320" s="25"/>
      <c r="J320" s="16"/>
      <c r="K320" s="16"/>
      <c r="L320" s="16"/>
      <c r="M320" s="16"/>
      <c r="N320" s="16"/>
      <c r="O320" s="16"/>
      <c r="P320" s="16"/>
      <c r="Q320" s="16"/>
      <c r="R320" s="16"/>
      <c r="S320" s="16"/>
      <c r="T320" s="16"/>
      <c r="U320" s="16"/>
      <c r="V320" s="16"/>
      <c r="W320" s="16"/>
      <c r="X320" s="16"/>
      <c r="Y320" s="16"/>
      <c r="Z320" s="16"/>
      <c r="AA320" s="16"/>
      <c r="AB320" s="16"/>
      <c r="AC320" s="16"/>
      <c r="AD320" s="16"/>
      <c r="AE320" s="16"/>
      <c r="AF320" s="16"/>
      <c r="AG320" s="16"/>
      <c r="AH320" s="16"/>
      <c r="AI320" s="16"/>
      <c r="AJ320" s="16"/>
    </row>
    <row r="321" spans="3:36" x14ac:dyDescent="0.3">
      <c r="C321" s="25"/>
      <c r="D321" s="25"/>
      <c r="E321" s="25"/>
      <c r="J321" s="16"/>
      <c r="K321" s="16"/>
      <c r="L321" s="16"/>
      <c r="M321" s="16"/>
      <c r="N321" s="16"/>
      <c r="O321" s="16"/>
      <c r="P321" s="16"/>
      <c r="Q321" s="16"/>
      <c r="R321" s="16"/>
      <c r="S321" s="16"/>
      <c r="T321" s="16"/>
      <c r="U321" s="16"/>
      <c r="V321" s="16"/>
      <c r="W321" s="16"/>
      <c r="X321" s="16"/>
      <c r="Y321" s="16"/>
      <c r="Z321" s="16"/>
      <c r="AA321" s="16"/>
      <c r="AB321" s="16"/>
      <c r="AC321" s="16"/>
      <c r="AD321" s="16"/>
      <c r="AE321" s="16"/>
      <c r="AF321" s="16"/>
      <c r="AG321" s="16"/>
      <c r="AH321" s="16"/>
      <c r="AI321" s="16"/>
      <c r="AJ321" s="16"/>
    </row>
    <row r="322" spans="3:36" x14ac:dyDescent="0.3">
      <c r="C322" s="25"/>
      <c r="D322" s="25"/>
      <c r="E322" s="25"/>
      <c r="J322" s="16"/>
      <c r="K322" s="16"/>
      <c r="L322" s="16"/>
      <c r="M322" s="16"/>
      <c r="N322" s="16"/>
      <c r="O322" s="16"/>
      <c r="P322" s="16"/>
      <c r="Q322" s="16"/>
      <c r="R322" s="16"/>
      <c r="S322" s="16"/>
      <c r="T322" s="16"/>
      <c r="U322" s="16"/>
      <c r="V322" s="16"/>
      <c r="W322" s="16"/>
      <c r="X322" s="16"/>
      <c r="Y322" s="16"/>
      <c r="Z322" s="16"/>
      <c r="AA322" s="16"/>
      <c r="AB322" s="16"/>
      <c r="AC322" s="16"/>
      <c r="AD322" s="16"/>
      <c r="AE322" s="16"/>
      <c r="AF322" s="16"/>
      <c r="AG322" s="16"/>
      <c r="AH322" s="16"/>
      <c r="AI322" s="16"/>
      <c r="AJ322" s="16"/>
    </row>
    <row r="323" spans="3:36" x14ac:dyDescent="0.3">
      <c r="C323" s="25"/>
      <c r="D323" s="25"/>
      <c r="E323" s="25"/>
      <c r="J323" s="16"/>
      <c r="K323" s="16"/>
      <c r="L323" s="16"/>
      <c r="M323" s="16"/>
      <c r="N323" s="16"/>
      <c r="O323" s="16"/>
      <c r="P323" s="16"/>
      <c r="Q323" s="16"/>
      <c r="R323" s="16"/>
      <c r="S323" s="16"/>
      <c r="T323" s="16"/>
      <c r="U323" s="16"/>
      <c r="V323" s="16"/>
      <c r="W323" s="16"/>
      <c r="X323" s="16"/>
      <c r="Y323" s="16"/>
      <c r="Z323" s="16"/>
      <c r="AA323" s="16"/>
      <c r="AB323" s="16"/>
      <c r="AC323" s="16"/>
      <c r="AD323" s="16"/>
      <c r="AE323" s="16"/>
      <c r="AF323" s="16"/>
      <c r="AG323" s="16"/>
      <c r="AH323" s="16"/>
      <c r="AI323" s="16"/>
      <c r="AJ323" s="16"/>
    </row>
    <row r="324" spans="3:36" x14ac:dyDescent="0.3">
      <c r="C324" s="25"/>
      <c r="D324" s="25"/>
      <c r="E324" s="25"/>
      <c r="J324" s="16"/>
      <c r="K324" s="16"/>
      <c r="L324" s="16"/>
      <c r="M324" s="16"/>
      <c r="N324" s="16"/>
      <c r="O324" s="16"/>
      <c r="P324" s="16"/>
      <c r="Q324" s="16"/>
      <c r="R324" s="16"/>
      <c r="S324" s="16"/>
      <c r="T324" s="16"/>
      <c r="U324" s="16"/>
      <c r="V324" s="16"/>
      <c r="W324" s="16"/>
      <c r="X324" s="16"/>
      <c r="Y324" s="16"/>
      <c r="Z324" s="16"/>
      <c r="AA324" s="16"/>
      <c r="AB324" s="16"/>
      <c r="AC324" s="16"/>
      <c r="AD324" s="16"/>
      <c r="AE324" s="16"/>
      <c r="AF324" s="16"/>
      <c r="AG324" s="16"/>
      <c r="AH324" s="16"/>
      <c r="AI324" s="16"/>
      <c r="AJ324" s="16"/>
    </row>
    <row r="325" spans="3:36" x14ac:dyDescent="0.3">
      <c r="C325" s="25"/>
      <c r="D325" s="25"/>
      <c r="E325" s="25"/>
      <c r="J325" s="16"/>
      <c r="K325" s="16"/>
      <c r="L325" s="16"/>
      <c r="M325" s="16"/>
      <c r="N325" s="16"/>
      <c r="O325" s="16"/>
      <c r="P325" s="16"/>
      <c r="Q325" s="16"/>
      <c r="R325" s="16"/>
      <c r="S325" s="16"/>
      <c r="T325" s="16"/>
      <c r="U325" s="16"/>
      <c r="V325" s="16"/>
      <c r="W325" s="16"/>
      <c r="X325" s="16"/>
      <c r="Y325" s="16"/>
      <c r="Z325" s="16"/>
      <c r="AA325" s="16"/>
      <c r="AB325" s="16"/>
      <c r="AC325" s="16"/>
      <c r="AD325" s="16"/>
      <c r="AE325" s="16"/>
      <c r="AF325" s="16"/>
      <c r="AG325" s="16"/>
      <c r="AH325" s="16"/>
      <c r="AI325" s="16"/>
      <c r="AJ325" s="16"/>
    </row>
    <row r="326" spans="3:36" x14ac:dyDescent="0.3">
      <c r="C326" s="25"/>
      <c r="D326" s="25"/>
      <c r="E326" s="25"/>
      <c r="J326" s="16"/>
      <c r="K326" s="16"/>
      <c r="L326" s="16"/>
      <c r="M326" s="16"/>
      <c r="N326" s="16"/>
      <c r="O326" s="16"/>
      <c r="P326" s="16"/>
      <c r="Q326" s="16"/>
      <c r="R326" s="16"/>
      <c r="S326" s="16"/>
      <c r="T326" s="16"/>
      <c r="U326" s="16"/>
      <c r="V326" s="16"/>
      <c r="W326" s="16"/>
      <c r="X326" s="16"/>
      <c r="Y326" s="16"/>
      <c r="Z326" s="16"/>
      <c r="AA326" s="16"/>
      <c r="AB326" s="16"/>
      <c r="AC326" s="16"/>
      <c r="AD326" s="16"/>
      <c r="AE326" s="16"/>
      <c r="AF326" s="16"/>
      <c r="AG326" s="16"/>
      <c r="AH326" s="16"/>
      <c r="AI326" s="16"/>
      <c r="AJ326" s="16"/>
    </row>
    <row r="327" spans="3:36" x14ac:dyDescent="0.3">
      <c r="C327" s="25"/>
      <c r="D327" s="25"/>
      <c r="E327" s="25"/>
      <c r="J327" s="16"/>
      <c r="K327" s="16"/>
      <c r="L327" s="16"/>
      <c r="M327" s="16"/>
      <c r="N327" s="16"/>
      <c r="O327" s="16"/>
      <c r="P327" s="16"/>
      <c r="Q327" s="16"/>
      <c r="R327" s="16"/>
      <c r="S327" s="16"/>
      <c r="T327" s="16"/>
      <c r="U327" s="16"/>
      <c r="V327" s="16"/>
      <c r="W327" s="16"/>
      <c r="X327" s="16"/>
      <c r="Y327" s="16"/>
      <c r="Z327" s="16"/>
      <c r="AA327" s="16"/>
      <c r="AB327" s="16"/>
      <c r="AC327" s="16"/>
      <c r="AD327" s="16"/>
      <c r="AE327" s="16"/>
      <c r="AF327" s="16"/>
      <c r="AG327" s="16"/>
      <c r="AH327" s="16"/>
      <c r="AI327" s="16"/>
      <c r="AJ327" s="16"/>
    </row>
    <row r="328" spans="3:36" x14ac:dyDescent="0.3">
      <c r="J328" s="16"/>
      <c r="K328" s="16"/>
      <c r="L328" s="16"/>
      <c r="M328" s="16"/>
      <c r="N328" s="16"/>
      <c r="O328" s="16"/>
      <c r="P328" s="16"/>
      <c r="Q328" s="16"/>
      <c r="R328" s="16"/>
      <c r="S328" s="16"/>
      <c r="T328" s="16"/>
      <c r="U328" s="16"/>
      <c r="V328" s="16"/>
      <c r="W328" s="16"/>
      <c r="X328" s="16"/>
      <c r="Y328" s="16"/>
      <c r="Z328" s="16"/>
      <c r="AA328" s="16"/>
      <c r="AB328" s="16"/>
      <c r="AC328" s="16"/>
      <c r="AD328" s="16"/>
      <c r="AE328" s="16"/>
      <c r="AF328" s="16"/>
      <c r="AG328" s="16"/>
      <c r="AH328" s="16"/>
      <c r="AI328" s="16"/>
      <c r="AJ328" s="16"/>
    </row>
    <row r="329" spans="3:36" x14ac:dyDescent="0.3">
      <c r="J329" s="16"/>
      <c r="K329" s="16"/>
      <c r="L329" s="16"/>
      <c r="M329" s="16"/>
      <c r="N329" s="16"/>
      <c r="O329" s="16"/>
      <c r="P329" s="16"/>
      <c r="Q329" s="16"/>
      <c r="R329" s="16"/>
      <c r="S329" s="16"/>
      <c r="T329" s="16"/>
      <c r="U329" s="16"/>
      <c r="V329" s="16"/>
      <c r="W329" s="16"/>
      <c r="X329" s="16"/>
      <c r="Y329" s="16"/>
      <c r="Z329" s="16"/>
      <c r="AA329" s="16"/>
      <c r="AB329" s="16"/>
      <c r="AC329" s="16"/>
      <c r="AD329" s="16"/>
      <c r="AE329" s="16"/>
      <c r="AF329" s="16"/>
      <c r="AG329" s="16"/>
      <c r="AH329" s="16"/>
      <c r="AI329" s="16"/>
      <c r="AJ329" s="16"/>
    </row>
    <row r="330" spans="3:36" x14ac:dyDescent="0.3">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row>
    <row r="331" spans="3:36" x14ac:dyDescent="0.3">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row>
    <row r="332" spans="3:36" x14ac:dyDescent="0.3">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row>
    <row r="333" spans="3:36" x14ac:dyDescent="0.3">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row>
    <row r="334" spans="3:36" x14ac:dyDescent="0.3">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row>
    <row r="335" spans="3:36" x14ac:dyDescent="0.3">
      <c r="J335" s="16"/>
      <c r="K335" s="16"/>
      <c r="L335" s="16"/>
      <c r="M335" s="16"/>
      <c r="N335" s="16"/>
      <c r="O335" s="16"/>
      <c r="P335" s="16"/>
      <c r="Q335" s="16"/>
      <c r="R335" s="16"/>
      <c r="S335" s="16"/>
      <c r="T335" s="16"/>
      <c r="U335" s="16"/>
      <c r="V335" s="16"/>
      <c r="W335" s="16"/>
      <c r="X335" s="16"/>
      <c r="Y335" s="16"/>
      <c r="Z335" s="16"/>
      <c r="AA335" s="16"/>
      <c r="AB335" s="16"/>
      <c r="AC335" s="16"/>
      <c r="AD335" s="16"/>
      <c r="AE335" s="16"/>
      <c r="AF335" s="16"/>
      <c r="AG335" s="16"/>
      <c r="AH335" s="16"/>
      <c r="AI335" s="16"/>
      <c r="AJ335" s="16"/>
    </row>
    <row r="336" spans="3:36" x14ac:dyDescent="0.3">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row>
    <row r="337" spans="10:36" x14ac:dyDescent="0.3">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row>
  </sheetData>
  <mergeCells count="2">
    <mergeCell ref="C6:E6"/>
    <mergeCell ref="G6:I6"/>
  </mergeCells>
  <pageMargins left="0.7" right="0.7" top="0.75" bottom="0.75" header="0.3" footer="0.3"/>
  <pageSetup paperSize="8" orientation="portrait" r:id="rId1"/>
  <headerFooter>
    <oddHeader>&amp;L&amp;"System Font,Regular"&amp;10&amp;K000000&amp;F&amp;R&amp;N</oddHeader>
    <oddFooter>&amp;C&amp;"Arial (Body)</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T358"/>
  <sheetViews>
    <sheetView showGridLines="0" zoomScale="90" zoomScaleNormal="90" zoomScaleSheetLayoutView="143" zoomScalePageLayoutView="123" workbookViewId="0">
      <pane xSplit="2" ySplit="8" topLeftCell="C135" activePane="bottomRight" state="frozen"/>
      <selection pane="topRight" activeCell="B1" sqref="B1"/>
      <selection pane="bottomLeft" activeCell="A10" sqref="A10"/>
      <selection pane="bottomRight" activeCell="C9" sqref="C9"/>
    </sheetView>
  </sheetViews>
  <sheetFormatPr defaultColWidth="11.3984375" defaultRowHeight="15.5" x14ac:dyDescent="0.3"/>
  <cols>
    <col min="1" max="1" width="8.69921875" style="16" customWidth="1"/>
    <col min="2" max="4" width="11.69921875" style="17" customWidth="1"/>
    <col min="5" max="5" width="4.69921875" style="17" customWidth="1"/>
    <col min="6" max="10" width="11.69921875" style="17" customWidth="1"/>
    <col min="11" max="11" width="4.69921875" style="17" customWidth="1"/>
    <col min="12" max="17" width="11.69921875" style="17" customWidth="1"/>
    <col min="18" max="16384" width="11.3984375" style="17"/>
  </cols>
  <sheetData>
    <row r="1" spans="1:46" s="4" customFormat="1" ht="27" customHeight="1" x14ac:dyDescent="0.35"/>
    <row r="2" spans="1:46" s="6" customFormat="1" ht="21" customHeight="1" x14ac:dyDescent="0.4">
      <c r="A2" s="26" t="s">
        <v>0</v>
      </c>
      <c r="B2" s="26"/>
      <c r="C2" s="26"/>
      <c r="D2" s="26"/>
      <c r="E2" s="26"/>
      <c r="F2" s="26"/>
      <c r="G2" s="26"/>
      <c r="H2" s="26"/>
      <c r="I2" s="26"/>
      <c r="J2" s="26"/>
      <c r="K2" s="26"/>
      <c r="L2" s="26"/>
      <c r="M2" s="26"/>
      <c r="N2" s="26"/>
      <c r="O2" s="26"/>
      <c r="P2" s="26"/>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row>
    <row r="3" spans="1:46" s="10" customFormat="1" ht="12.75" customHeight="1" x14ac:dyDescent="0.3">
      <c r="A3" s="7" t="s">
        <v>22</v>
      </c>
      <c r="B3" s="7"/>
      <c r="C3" s="7"/>
      <c r="D3" s="7"/>
      <c r="E3" s="7"/>
      <c r="F3" s="7"/>
      <c r="G3" s="7"/>
      <c r="H3" s="7"/>
      <c r="I3" s="7"/>
      <c r="J3" s="7"/>
      <c r="K3" s="7"/>
      <c r="L3" s="8"/>
      <c r="M3" s="9"/>
      <c r="N3" s="9"/>
      <c r="O3" s="9"/>
      <c r="P3" s="9"/>
      <c r="Q3" s="9"/>
      <c r="R3" s="9"/>
      <c r="S3" s="9"/>
      <c r="T3" s="9"/>
      <c r="U3" s="8"/>
      <c r="V3" s="8"/>
      <c r="W3" s="8"/>
      <c r="X3" s="8"/>
      <c r="Y3" s="8"/>
      <c r="Z3" s="8"/>
      <c r="AA3" s="8"/>
      <c r="AB3" s="8"/>
      <c r="AC3" s="8"/>
      <c r="AD3" s="8"/>
      <c r="AE3" s="8"/>
      <c r="AF3" s="8"/>
      <c r="AG3" s="8"/>
      <c r="AH3" s="8"/>
      <c r="AI3" s="8"/>
      <c r="AJ3" s="8"/>
      <c r="AK3" s="8"/>
      <c r="AL3" s="8"/>
      <c r="AM3" s="8"/>
      <c r="AN3" s="8"/>
      <c r="AO3" s="8"/>
      <c r="AP3" s="8"/>
      <c r="AQ3" s="8"/>
      <c r="AR3" s="8"/>
      <c r="AS3" s="8"/>
      <c r="AT3" s="8"/>
    </row>
    <row r="4" spans="1:46" s="13" customFormat="1" ht="15" customHeight="1" x14ac:dyDescent="0.35">
      <c r="A4" s="11" t="s">
        <v>27</v>
      </c>
      <c r="B4" s="11"/>
      <c r="C4" s="11"/>
      <c r="D4" s="11"/>
      <c r="E4" s="11"/>
      <c r="F4" s="11"/>
      <c r="G4" s="11"/>
      <c r="H4" s="11"/>
      <c r="I4" s="11"/>
      <c r="J4" s="11"/>
      <c r="K4" s="11"/>
      <c r="L4" s="12"/>
      <c r="M4" s="9"/>
      <c r="N4" s="9"/>
      <c r="O4" s="9"/>
      <c r="P4" s="9"/>
      <c r="Q4" s="9"/>
      <c r="R4" s="9"/>
      <c r="S4" s="9"/>
      <c r="T4" s="9"/>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row>
    <row r="5" spans="1:46" s="15" customFormat="1" ht="13.5" customHeight="1" x14ac:dyDescent="0.35">
      <c r="A5" s="7" t="s">
        <v>56</v>
      </c>
      <c r="B5" s="7"/>
      <c r="C5" s="7"/>
      <c r="D5" s="7"/>
      <c r="E5" s="7"/>
      <c r="F5" s="7"/>
      <c r="G5" s="7"/>
      <c r="H5" s="7"/>
      <c r="I5" s="7"/>
      <c r="J5" s="7"/>
      <c r="K5" s="7"/>
      <c r="L5" s="14"/>
      <c r="M5" s="9"/>
      <c r="N5" s="9"/>
      <c r="O5" s="9"/>
      <c r="P5" s="9"/>
      <c r="Q5" s="9"/>
      <c r="R5" s="9"/>
      <c r="S5" s="9"/>
      <c r="T5" s="9"/>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row>
    <row r="6" spans="1:46" x14ac:dyDescent="0.3">
      <c r="B6" s="16"/>
      <c r="C6" s="16"/>
      <c r="D6" s="16"/>
      <c r="E6" s="16"/>
      <c r="F6" s="96" t="s">
        <v>25</v>
      </c>
      <c r="G6" s="97"/>
      <c r="H6" s="97"/>
      <c r="I6" s="97"/>
      <c r="J6" s="97"/>
      <c r="K6" s="16"/>
      <c r="L6" s="98" t="s">
        <v>26</v>
      </c>
      <c r="M6" s="99"/>
      <c r="N6" s="99"/>
      <c r="O6" s="99"/>
      <c r="P6" s="99"/>
      <c r="Q6" s="99"/>
      <c r="R6" s="9"/>
      <c r="S6" s="9"/>
      <c r="T6" s="9"/>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row>
    <row r="7" spans="1:46" ht="39" customHeight="1" x14ac:dyDescent="0.3">
      <c r="B7" s="18"/>
      <c r="C7" s="71" t="s">
        <v>28</v>
      </c>
      <c r="D7" s="72" t="s">
        <v>29</v>
      </c>
      <c r="E7" s="16"/>
      <c r="F7" s="19" t="s">
        <v>2</v>
      </c>
      <c r="G7" s="19" t="s">
        <v>3</v>
      </c>
      <c r="H7" s="19" t="s">
        <v>4</v>
      </c>
      <c r="I7" s="19" t="s">
        <v>5</v>
      </c>
      <c r="J7" s="33" t="s">
        <v>3</v>
      </c>
      <c r="L7" s="20" t="s">
        <v>7</v>
      </c>
      <c r="M7" s="20" t="s">
        <v>9</v>
      </c>
      <c r="N7" s="20" t="s">
        <v>8</v>
      </c>
      <c r="O7" s="20" t="s">
        <v>7</v>
      </c>
      <c r="P7" s="20" t="s">
        <v>9</v>
      </c>
      <c r="Q7" s="20" t="s">
        <v>8</v>
      </c>
      <c r="R7" s="16"/>
      <c r="S7" s="16"/>
      <c r="T7" s="16"/>
      <c r="U7" s="16"/>
      <c r="V7" s="16"/>
      <c r="W7" s="16"/>
      <c r="X7" s="16"/>
      <c r="Y7" s="16"/>
      <c r="Z7" s="16"/>
      <c r="AA7" s="16"/>
      <c r="AB7" s="16"/>
      <c r="AC7" s="16"/>
      <c r="AD7" s="16"/>
      <c r="AE7" s="16"/>
      <c r="AF7" s="16"/>
      <c r="AG7" s="16"/>
      <c r="AH7" s="16"/>
      <c r="AI7" s="16"/>
      <c r="AJ7" s="16"/>
      <c r="AK7" s="16"/>
      <c r="AL7" s="16"/>
      <c r="AM7" s="16"/>
      <c r="AN7" s="16"/>
      <c r="AO7" s="16"/>
      <c r="AP7" s="16"/>
      <c r="AQ7" s="16"/>
      <c r="AR7" s="16"/>
      <c r="AS7" s="16"/>
    </row>
    <row r="8" spans="1:46" x14ac:dyDescent="0.3">
      <c r="B8" s="18"/>
      <c r="C8" s="100" t="s">
        <v>1</v>
      </c>
      <c r="D8" s="101"/>
      <c r="E8" s="16"/>
      <c r="F8" s="21" t="s">
        <v>6</v>
      </c>
      <c r="G8" s="21" t="s">
        <v>6</v>
      </c>
      <c r="H8" s="21" t="s">
        <v>1</v>
      </c>
      <c r="I8" s="21" t="s">
        <v>1</v>
      </c>
      <c r="J8" s="21" t="s">
        <v>1</v>
      </c>
      <c r="K8" s="16"/>
      <c r="L8" s="21" t="s">
        <v>6</v>
      </c>
      <c r="M8" s="21" t="s">
        <v>6</v>
      </c>
      <c r="N8" s="21" t="s">
        <v>6</v>
      </c>
      <c r="O8" s="21" t="s">
        <v>1</v>
      </c>
      <c r="P8" s="21" t="s">
        <v>1</v>
      </c>
      <c r="Q8" s="21" t="s">
        <v>1</v>
      </c>
      <c r="R8" s="16"/>
      <c r="S8" s="16"/>
      <c r="T8" s="16"/>
      <c r="U8" s="16"/>
      <c r="V8" s="16"/>
      <c r="W8" s="16"/>
      <c r="X8" s="16"/>
      <c r="Y8" s="16"/>
      <c r="Z8" s="16"/>
      <c r="AA8" s="16"/>
      <c r="AB8" s="16"/>
      <c r="AC8" s="16"/>
      <c r="AD8" s="16"/>
      <c r="AE8" s="16"/>
      <c r="AF8" s="16"/>
      <c r="AG8" s="16"/>
      <c r="AH8" s="16"/>
      <c r="AI8" s="16"/>
      <c r="AJ8" s="16"/>
      <c r="AK8" s="16"/>
      <c r="AL8" s="16"/>
      <c r="AM8" s="16"/>
      <c r="AN8" s="16"/>
      <c r="AO8" s="16"/>
      <c r="AP8" s="16"/>
      <c r="AQ8" s="16"/>
      <c r="AR8" s="16"/>
      <c r="AS8" s="16"/>
    </row>
    <row r="9" spans="1:46" x14ac:dyDescent="0.3">
      <c r="B9" s="41">
        <v>40179</v>
      </c>
      <c r="C9" s="34">
        <f>H9+I9+J9</f>
        <v>25.057342775786097</v>
      </c>
      <c r="D9" s="34">
        <f>O9+P9+Q9</f>
        <v>27.24814784371754</v>
      </c>
      <c r="E9" s="35"/>
      <c r="F9" s="36">
        <v>2700</v>
      </c>
      <c r="G9" s="36">
        <v>1750</v>
      </c>
      <c r="H9" s="34">
        <f t="shared" ref="H9:H72" si="0">(F9-237)*100/20273</f>
        <v>12.149163912593105</v>
      </c>
      <c r="I9" s="34">
        <f t="shared" ref="I9:I72" si="1">((G9-103)-352)*100/217740</f>
        <v>0.59474602737209514</v>
      </c>
      <c r="J9" s="34">
        <f t="shared" ref="J9:J72" si="2">(G9-430)*100/10720</f>
        <v>12.313432835820896</v>
      </c>
      <c r="K9" s="35"/>
      <c r="L9" s="36">
        <v>2600</v>
      </c>
      <c r="M9" s="36">
        <v>639.4248</v>
      </c>
      <c r="N9" s="36">
        <v>2400</v>
      </c>
      <c r="O9" s="34">
        <v>24.49462365591398</v>
      </c>
      <c r="P9" s="34">
        <f>(M9-340)*100/17000</f>
        <v>1.7613223529411763</v>
      </c>
      <c r="Q9" s="34">
        <f>(N9-237)*100/218000</f>
        <v>0.99220183486238533</v>
      </c>
      <c r="R9" s="16"/>
      <c r="S9" s="16"/>
      <c r="T9" s="16"/>
      <c r="U9" s="16"/>
      <c r="V9" s="16"/>
      <c r="W9" s="16"/>
      <c r="X9" s="16"/>
      <c r="Y9" s="16"/>
      <c r="Z9" s="16"/>
      <c r="AA9" s="16"/>
      <c r="AB9" s="16"/>
      <c r="AC9" s="16"/>
      <c r="AD9" s="16"/>
      <c r="AE9" s="16"/>
      <c r="AF9" s="16"/>
      <c r="AG9" s="16"/>
      <c r="AH9" s="16"/>
      <c r="AI9" s="16"/>
      <c r="AJ9" s="16"/>
      <c r="AK9" s="16"/>
      <c r="AL9" s="16"/>
      <c r="AM9" s="16"/>
      <c r="AN9" s="16"/>
      <c r="AO9" s="16"/>
      <c r="AP9" s="16"/>
      <c r="AQ9" s="16"/>
      <c r="AR9" s="16"/>
      <c r="AS9" s="16"/>
    </row>
    <row r="10" spans="1:46" x14ac:dyDescent="0.3">
      <c r="B10" s="42">
        <v>40210</v>
      </c>
      <c r="C10" s="37">
        <f t="shared" ref="C10:C73" si="3">H10+I10+J10</f>
        <v>24.066923133144176</v>
      </c>
      <c r="D10" s="37">
        <f t="shared" ref="D10:D73" si="4">O10+P10+Q10</f>
        <v>26.778622576583164</v>
      </c>
      <c r="E10" s="35"/>
      <c r="F10" s="38">
        <v>2400</v>
      </c>
      <c r="G10" s="38">
        <v>1800</v>
      </c>
      <c r="H10" s="37">
        <f t="shared" si="0"/>
        <v>10.66936319242342</v>
      </c>
      <c r="I10" s="37">
        <f t="shared" si="1"/>
        <v>0.61770919445209882</v>
      </c>
      <c r="J10" s="37">
        <f t="shared" si="2"/>
        <v>12.779850746268657</v>
      </c>
      <c r="K10" s="35"/>
      <c r="L10" s="38">
        <v>2600</v>
      </c>
      <c r="M10" s="38">
        <v>583</v>
      </c>
      <c r="N10" s="38">
        <v>2100</v>
      </c>
      <c r="O10" s="37">
        <v>24.49462365591398</v>
      </c>
      <c r="P10" s="37">
        <f>(M10-340)*100/17000</f>
        <v>1.4294117647058824</v>
      </c>
      <c r="Q10" s="37">
        <f>(N10-237)*100/218000</f>
        <v>0.8545871559633027</v>
      </c>
      <c r="R10" s="16"/>
      <c r="S10" s="16"/>
      <c r="T10" s="16"/>
      <c r="U10" s="16"/>
      <c r="V10" s="16"/>
      <c r="W10" s="16"/>
      <c r="X10" s="16"/>
      <c r="Y10" s="16"/>
      <c r="Z10" s="16"/>
      <c r="AA10" s="16"/>
      <c r="AB10" s="16"/>
      <c r="AC10" s="16"/>
      <c r="AD10" s="16"/>
      <c r="AE10" s="16"/>
      <c r="AF10" s="16"/>
      <c r="AG10" s="16"/>
      <c r="AH10" s="16"/>
      <c r="AI10" s="16"/>
      <c r="AJ10" s="16"/>
      <c r="AK10" s="16"/>
      <c r="AL10" s="16"/>
      <c r="AM10" s="16"/>
      <c r="AN10" s="16"/>
      <c r="AO10" s="16"/>
      <c r="AP10" s="16"/>
      <c r="AQ10" s="16"/>
      <c r="AR10" s="16"/>
      <c r="AS10" s="16"/>
    </row>
    <row r="11" spans="1:46" x14ac:dyDescent="0.3">
      <c r="B11" s="41">
        <v>40238</v>
      </c>
      <c r="C11" s="34">
        <f t="shared" si="3"/>
        <v>25.542838024118396</v>
      </c>
      <c r="D11" s="34">
        <f t="shared" si="4"/>
        <v>26.882130401731573</v>
      </c>
      <c r="E11" s="35"/>
      <c r="F11" s="36">
        <v>2600</v>
      </c>
      <c r="G11" s="36">
        <v>1850</v>
      </c>
      <c r="H11" s="34">
        <f t="shared" si="0"/>
        <v>11.655897005869877</v>
      </c>
      <c r="I11" s="34">
        <f t="shared" si="1"/>
        <v>0.6406723615321025</v>
      </c>
      <c r="J11" s="34">
        <f t="shared" si="2"/>
        <v>13.246268656716419</v>
      </c>
      <c r="K11" s="35"/>
      <c r="L11" s="36">
        <v>2600</v>
      </c>
      <c r="M11" s="36">
        <v>585</v>
      </c>
      <c r="N11" s="36">
        <v>2300</v>
      </c>
      <c r="O11" s="34">
        <v>24.49462365591398</v>
      </c>
      <c r="P11" s="34">
        <f t="shared" ref="P11:P74" si="5">(M11-340)*100/17000</f>
        <v>1.4411764705882353</v>
      </c>
      <c r="Q11" s="34">
        <f t="shared" ref="Q11:Q74" si="6">(N11-237)*100/218000</f>
        <v>0.94633027522935775</v>
      </c>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row>
    <row r="12" spans="1:46" x14ac:dyDescent="0.3">
      <c r="B12" s="42">
        <v>40269</v>
      </c>
      <c r="C12" s="37">
        <f t="shared" si="3"/>
        <v>28.005286728539073</v>
      </c>
      <c r="D12" s="37">
        <f t="shared" si="4"/>
        <v>28.150629284159951</v>
      </c>
      <c r="E12" s="35"/>
      <c r="F12" s="38">
        <v>3000</v>
      </c>
      <c r="G12" s="38">
        <v>1900</v>
      </c>
      <c r="H12" s="37">
        <f t="shared" si="0"/>
        <v>13.628964632762788</v>
      </c>
      <c r="I12" s="37">
        <f t="shared" si="1"/>
        <v>0.66363552861210617</v>
      </c>
      <c r="J12" s="37">
        <f t="shared" si="2"/>
        <v>13.712686567164178</v>
      </c>
      <c r="K12" s="35"/>
      <c r="L12" s="38">
        <v>2650</v>
      </c>
      <c r="M12" s="38">
        <v>678.05430000000001</v>
      </c>
      <c r="N12" s="38">
        <v>2700</v>
      </c>
      <c r="O12" s="37">
        <v>25.032258064516128</v>
      </c>
      <c r="P12" s="37">
        <f t="shared" si="5"/>
        <v>1.9885547058823529</v>
      </c>
      <c r="Q12" s="37">
        <f t="shared" si="6"/>
        <v>1.129816513761468</v>
      </c>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row>
    <row r="13" spans="1:46" x14ac:dyDescent="0.3">
      <c r="B13" s="41">
        <v>40299</v>
      </c>
      <c r="C13" s="34">
        <f t="shared" si="3"/>
        <v>30.467735432959749</v>
      </c>
      <c r="D13" s="34">
        <f t="shared" si="4"/>
        <v>29.446699336733804</v>
      </c>
      <c r="E13" s="35"/>
      <c r="F13" s="36">
        <v>3400</v>
      </c>
      <c r="G13" s="36">
        <v>1950</v>
      </c>
      <c r="H13" s="34">
        <f t="shared" si="0"/>
        <v>15.602032259655699</v>
      </c>
      <c r="I13" s="34">
        <f t="shared" si="1"/>
        <v>0.68659869569210985</v>
      </c>
      <c r="J13" s="34">
        <f t="shared" si="2"/>
        <v>14.17910447761194</v>
      </c>
      <c r="K13" s="35"/>
      <c r="L13" s="36">
        <v>2800</v>
      </c>
      <c r="M13" s="36">
        <v>593</v>
      </c>
      <c r="N13" s="36">
        <v>3100</v>
      </c>
      <c r="O13" s="34">
        <v>26.64516129032258</v>
      </c>
      <c r="P13" s="34">
        <f t="shared" si="5"/>
        <v>1.4882352941176471</v>
      </c>
      <c r="Q13" s="34">
        <f t="shared" si="6"/>
        <v>1.3133027522935781</v>
      </c>
      <c r="R13" s="16"/>
      <c r="S13" s="16"/>
      <c r="T13" s="16"/>
      <c r="U13" s="16"/>
      <c r="V13" s="16"/>
      <c r="W13" s="16"/>
      <c r="X13" s="16"/>
      <c r="Y13" s="16"/>
      <c r="Z13" s="16"/>
      <c r="AA13" s="16"/>
      <c r="AB13" s="16"/>
      <c r="AC13" s="16"/>
      <c r="AD13" s="16"/>
      <c r="AE13" s="16"/>
      <c r="AF13" s="16"/>
      <c r="AG13" s="16"/>
      <c r="AH13" s="16"/>
      <c r="AI13" s="16"/>
      <c r="AJ13" s="16"/>
      <c r="AK13" s="16"/>
      <c r="AL13" s="16"/>
      <c r="AM13" s="16"/>
      <c r="AN13" s="16"/>
      <c r="AO13" s="16"/>
      <c r="AP13" s="16"/>
      <c r="AQ13" s="16"/>
      <c r="AR13" s="16"/>
      <c r="AS13" s="16"/>
    </row>
    <row r="14" spans="1:46" x14ac:dyDescent="0.3">
      <c r="B14" s="42">
        <v>40330</v>
      </c>
      <c r="C14" s="37">
        <f t="shared" si="3"/>
        <v>30.710483057125899</v>
      </c>
      <c r="D14" s="37">
        <f t="shared" si="4"/>
        <v>29.306116498093761</v>
      </c>
      <c r="E14" s="35"/>
      <c r="F14" s="38">
        <v>3350</v>
      </c>
      <c r="G14" s="38">
        <v>2000</v>
      </c>
      <c r="H14" s="37">
        <f t="shared" si="0"/>
        <v>15.355398806294085</v>
      </c>
      <c r="I14" s="37">
        <f t="shared" si="1"/>
        <v>0.70956186277211353</v>
      </c>
      <c r="J14" s="37">
        <f t="shared" si="2"/>
        <v>14.645522388059701</v>
      </c>
      <c r="K14" s="35"/>
      <c r="L14" s="38">
        <v>2800</v>
      </c>
      <c r="M14" s="38">
        <v>573</v>
      </c>
      <c r="N14" s="38">
        <v>3050</v>
      </c>
      <c r="O14" s="37">
        <v>26.64516129032258</v>
      </c>
      <c r="P14" s="37">
        <f t="shared" si="5"/>
        <v>1.3705882352941177</v>
      </c>
      <c r="Q14" s="37">
        <f t="shared" si="6"/>
        <v>1.2903669724770641</v>
      </c>
      <c r="R14" s="16"/>
      <c r="S14" s="16"/>
      <c r="T14" s="16"/>
      <c r="U14" s="16"/>
      <c r="V14" s="16"/>
      <c r="W14" s="16"/>
      <c r="X14" s="16"/>
      <c r="Y14" s="16"/>
      <c r="Z14" s="16"/>
      <c r="AA14" s="16"/>
      <c r="AB14" s="16"/>
      <c r="AC14" s="16"/>
      <c r="AD14" s="16"/>
      <c r="AE14" s="16"/>
      <c r="AF14" s="16"/>
      <c r="AG14" s="16"/>
      <c r="AH14" s="16"/>
      <c r="AI14" s="16"/>
      <c r="AJ14" s="16"/>
      <c r="AK14" s="16"/>
      <c r="AL14" s="16"/>
      <c r="AM14" s="16"/>
      <c r="AN14" s="16"/>
      <c r="AO14" s="16"/>
      <c r="AP14" s="16"/>
      <c r="AQ14" s="16"/>
      <c r="AR14" s="16"/>
      <c r="AS14" s="16"/>
    </row>
    <row r="15" spans="1:46" x14ac:dyDescent="0.3">
      <c r="B15" s="41">
        <v>40360</v>
      </c>
      <c r="C15" s="34">
        <f t="shared" si="3"/>
        <v>29.974468526236521</v>
      </c>
      <c r="D15" s="34">
        <f t="shared" si="4"/>
        <v>28.765533659453716</v>
      </c>
      <c r="E15" s="35"/>
      <c r="F15" s="36">
        <v>3300</v>
      </c>
      <c r="G15" s="36">
        <v>1950</v>
      </c>
      <c r="H15" s="34">
        <f t="shared" si="0"/>
        <v>15.108765352932473</v>
      </c>
      <c r="I15" s="34">
        <f t="shared" si="1"/>
        <v>0.68659869569210985</v>
      </c>
      <c r="J15" s="34">
        <f t="shared" si="2"/>
        <v>14.17910447761194</v>
      </c>
      <c r="K15" s="35"/>
      <c r="L15" s="36">
        <v>2800</v>
      </c>
      <c r="M15" s="36">
        <v>485</v>
      </c>
      <c r="N15" s="36">
        <v>3000</v>
      </c>
      <c r="O15" s="34">
        <v>26.64516129032258</v>
      </c>
      <c r="P15" s="34">
        <f t="shared" si="5"/>
        <v>0.8529411764705882</v>
      </c>
      <c r="Q15" s="34">
        <f t="shared" si="6"/>
        <v>1.2674311926605504</v>
      </c>
      <c r="R15" s="16"/>
      <c r="S15" s="16"/>
      <c r="T15" s="16"/>
      <c r="U15" s="16"/>
      <c r="V15" s="16"/>
      <c r="W15" s="16"/>
      <c r="X15" s="16"/>
      <c r="Y15" s="16"/>
      <c r="Z15" s="16"/>
      <c r="AA15" s="16"/>
      <c r="AB15" s="16"/>
      <c r="AC15" s="16"/>
      <c r="AD15" s="16"/>
      <c r="AE15" s="16"/>
      <c r="AF15" s="16"/>
      <c r="AG15" s="16"/>
      <c r="AH15" s="16"/>
      <c r="AI15" s="16"/>
      <c r="AJ15" s="16"/>
      <c r="AK15" s="16"/>
      <c r="AL15" s="16"/>
      <c r="AM15" s="16"/>
      <c r="AN15" s="16"/>
      <c r="AO15" s="16"/>
      <c r="AP15" s="16"/>
      <c r="AQ15" s="16"/>
      <c r="AR15" s="16"/>
      <c r="AS15" s="16"/>
    </row>
    <row r="16" spans="1:46" x14ac:dyDescent="0.3">
      <c r="B16" s="42">
        <v>40391</v>
      </c>
      <c r="C16" s="37">
        <f t="shared" si="3"/>
        <v>29.485087448708757</v>
      </c>
      <c r="D16" s="37">
        <f t="shared" si="4"/>
        <v>29.112592482983128</v>
      </c>
      <c r="E16" s="35"/>
      <c r="F16" s="38">
        <v>3300</v>
      </c>
      <c r="G16" s="38">
        <v>1900</v>
      </c>
      <c r="H16" s="37">
        <f t="shared" si="0"/>
        <v>15.108765352932473</v>
      </c>
      <c r="I16" s="37">
        <f t="shared" si="1"/>
        <v>0.66363552861210617</v>
      </c>
      <c r="J16" s="37">
        <f t="shared" si="2"/>
        <v>13.712686567164178</v>
      </c>
      <c r="K16" s="35"/>
      <c r="L16" s="38">
        <v>2800</v>
      </c>
      <c r="M16" s="38">
        <v>544</v>
      </c>
      <c r="N16" s="38">
        <v>3000</v>
      </c>
      <c r="O16" s="37">
        <v>26.64516129032258</v>
      </c>
      <c r="P16" s="37">
        <f t="shared" si="5"/>
        <v>1.2</v>
      </c>
      <c r="Q16" s="37">
        <f t="shared" si="6"/>
        <v>1.2674311926605504</v>
      </c>
      <c r="R16" s="16"/>
      <c r="S16" s="16"/>
      <c r="T16" s="16"/>
      <c r="U16" s="16"/>
      <c r="V16" s="16"/>
      <c r="W16" s="16"/>
      <c r="X16" s="16"/>
      <c r="Y16" s="16"/>
      <c r="Z16" s="16"/>
      <c r="AA16" s="16"/>
      <c r="AB16" s="16"/>
      <c r="AC16" s="16"/>
      <c r="AD16" s="16"/>
      <c r="AE16" s="16"/>
      <c r="AF16" s="16"/>
      <c r="AG16" s="16"/>
      <c r="AH16" s="16"/>
      <c r="AI16" s="16"/>
      <c r="AJ16" s="16"/>
      <c r="AK16" s="16"/>
      <c r="AL16" s="16"/>
      <c r="AM16" s="16"/>
      <c r="AN16" s="16"/>
      <c r="AO16" s="16"/>
      <c r="AP16" s="16"/>
      <c r="AQ16" s="16"/>
      <c r="AR16" s="16"/>
      <c r="AS16" s="16"/>
    </row>
    <row r="17" spans="2:45" x14ac:dyDescent="0.3">
      <c r="B17" s="41">
        <v>40422</v>
      </c>
      <c r="C17" s="34">
        <f t="shared" si="3"/>
        <v>29.72783507287491</v>
      </c>
      <c r="D17" s="34">
        <f t="shared" si="4"/>
        <v>29.175551706329173</v>
      </c>
      <c r="E17" s="35"/>
      <c r="F17" s="36">
        <v>3250</v>
      </c>
      <c r="G17" s="36">
        <v>1950</v>
      </c>
      <c r="H17" s="34">
        <f t="shared" si="0"/>
        <v>14.862131899570858</v>
      </c>
      <c r="I17" s="34">
        <f t="shared" si="1"/>
        <v>0.68659869569210985</v>
      </c>
      <c r="J17" s="34">
        <f t="shared" si="2"/>
        <v>14.17910447761194</v>
      </c>
      <c r="K17" s="35"/>
      <c r="L17" s="36">
        <v>2750</v>
      </c>
      <c r="M17" s="36">
        <v>650</v>
      </c>
      <c r="N17" s="36">
        <v>2950</v>
      </c>
      <c r="O17" s="34">
        <v>26.107526881720432</v>
      </c>
      <c r="P17" s="34">
        <f t="shared" si="5"/>
        <v>1.8235294117647058</v>
      </c>
      <c r="Q17" s="34">
        <f t="shared" si="6"/>
        <v>1.2444954128440366</v>
      </c>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row>
    <row r="18" spans="2:45" x14ac:dyDescent="0.3">
      <c r="B18" s="42">
        <v>40452</v>
      </c>
      <c r="C18" s="37">
        <f t="shared" si="3"/>
        <v>29.72783507287491</v>
      </c>
      <c r="D18" s="37">
        <f t="shared" si="4"/>
        <v>28.752022294564465</v>
      </c>
      <c r="E18" s="35"/>
      <c r="F18" s="38">
        <v>3250</v>
      </c>
      <c r="G18" s="38">
        <v>1950</v>
      </c>
      <c r="H18" s="37">
        <f t="shared" si="0"/>
        <v>14.862131899570858</v>
      </c>
      <c r="I18" s="37">
        <f t="shared" si="1"/>
        <v>0.68659869569210985</v>
      </c>
      <c r="J18" s="37">
        <f t="shared" si="2"/>
        <v>14.17910447761194</v>
      </c>
      <c r="K18" s="35"/>
      <c r="L18" s="38">
        <v>2750</v>
      </c>
      <c r="M18" s="38">
        <v>578</v>
      </c>
      <c r="N18" s="38">
        <v>2950</v>
      </c>
      <c r="O18" s="37">
        <v>26.107526881720432</v>
      </c>
      <c r="P18" s="37">
        <f t="shared" si="5"/>
        <v>1.4</v>
      </c>
      <c r="Q18" s="37">
        <f t="shared" si="6"/>
        <v>1.2444954128440366</v>
      </c>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row>
    <row r="19" spans="2:45" x14ac:dyDescent="0.3">
      <c r="B19" s="41">
        <v>40483</v>
      </c>
      <c r="C19" s="34">
        <f t="shared" si="3"/>
        <v>27.958291535384028</v>
      </c>
      <c r="D19" s="34">
        <f t="shared" si="4"/>
        <v>28.695573292945472</v>
      </c>
      <c r="E19" s="35"/>
      <c r="F19" s="36">
        <v>3050</v>
      </c>
      <c r="G19" s="36">
        <v>1870</v>
      </c>
      <c r="H19" s="34">
        <f t="shared" si="0"/>
        <v>13.875598086124402</v>
      </c>
      <c r="I19" s="34">
        <f t="shared" si="1"/>
        <v>0.64985762836410399</v>
      </c>
      <c r="J19" s="34">
        <f t="shared" si="2"/>
        <v>13.432835820895523</v>
      </c>
      <c r="K19" s="35"/>
      <c r="L19" s="36">
        <v>2750</v>
      </c>
      <c r="M19" s="36">
        <v>584</v>
      </c>
      <c r="N19" s="36">
        <v>2750</v>
      </c>
      <c r="O19" s="34">
        <v>26.107526881720432</v>
      </c>
      <c r="P19" s="34">
        <f t="shared" si="5"/>
        <v>1.4352941176470588</v>
      </c>
      <c r="Q19" s="34">
        <f t="shared" si="6"/>
        <v>1.1527522935779817</v>
      </c>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row>
    <row r="20" spans="2:45" x14ac:dyDescent="0.3">
      <c r="B20" s="42">
        <v>40513</v>
      </c>
      <c r="C20" s="37">
        <f t="shared" si="3"/>
        <v>28.005286728539073</v>
      </c>
      <c r="D20" s="37">
        <f t="shared" si="4"/>
        <v>28.813813983717196</v>
      </c>
      <c r="E20" s="35"/>
      <c r="F20" s="38">
        <v>3000</v>
      </c>
      <c r="G20" s="38">
        <v>1900</v>
      </c>
      <c r="H20" s="37">
        <f t="shared" si="0"/>
        <v>13.628964632762788</v>
      </c>
      <c r="I20" s="37">
        <f t="shared" si="1"/>
        <v>0.66363552861210617</v>
      </c>
      <c r="J20" s="37">
        <f t="shared" si="2"/>
        <v>13.712686567164178</v>
      </c>
      <c r="K20" s="35"/>
      <c r="L20" s="38">
        <v>2750</v>
      </c>
      <c r="M20" s="38">
        <v>608</v>
      </c>
      <c r="N20" s="38">
        <v>2700</v>
      </c>
      <c r="O20" s="37">
        <v>26.107526881720432</v>
      </c>
      <c r="P20" s="37">
        <f t="shared" si="5"/>
        <v>1.5764705882352941</v>
      </c>
      <c r="Q20" s="37">
        <f t="shared" si="6"/>
        <v>1.129816513761468</v>
      </c>
      <c r="R20" s="16"/>
      <c r="S20" s="16"/>
      <c r="T20" s="16"/>
      <c r="U20" s="16"/>
      <c r="V20" s="16"/>
      <c r="W20" s="16"/>
      <c r="X20" s="16"/>
      <c r="Y20" s="16"/>
      <c r="Z20" s="16"/>
      <c r="AA20" s="16"/>
      <c r="AB20" s="16"/>
      <c r="AC20" s="16"/>
      <c r="AD20" s="16"/>
      <c r="AE20" s="16"/>
      <c r="AF20" s="16"/>
      <c r="AG20" s="16"/>
      <c r="AH20" s="16"/>
      <c r="AI20" s="16"/>
      <c r="AJ20" s="16"/>
      <c r="AK20" s="16"/>
      <c r="AL20" s="16"/>
      <c r="AM20" s="16"/>
      <c r="AN20" s="16"/>
      <c r="AO20" s="16"/>
      <c r="AP20" s="16"/>
      <c r="AQ20" s="16"/>
      <c r="AR20" s="16"/>
      <c r="AS20" s="16"/>
    </row>
    <row r="21" spans="2:45" x14ac:dyDescent="0.3">
      <c r="B21" s="41">
        <v>40544</v>
      </c>
      <c r="C21" s="34">
        <f t="shared" si="3"/>
        <v>29.481201619513293</v>
      </c>
      <c r="D21" s="34">
        <f t="shared" si="4"/>
        <v>29.470262985336191</v>
      </c>
      <c r="E21" s="35"/>
      <c r="F21" s="36">
        <v>3200</v>
      </c>
      <c r="G21" s="36">
        <v>1950</v>
      </c>
      <c r="H21" s="34">
        <f t="shared" si="0"/>
        <v>14.615498446209244</v>
      </c>
      <c r="I21" s="34">
        <f t="shared" si="1"/>
        <v>0.68659869569210985</v>
      </c>
      <c r="J21" s="34">
        <f t="shared" si="2"/>
        <v>14.17910447761194</v>
      </c>
      <c r="K21" s="35"/>
      <c r="L21" s="36">
        <v>2750</v>
      </c>
      <c r="M21" s="36">
        <v>704</v>
      </c>
      <c r="N21" s="36">
        <v>2900</v>
      </c>
      <c r="O21" s="34">
        <v>26.107526881720432</v>
      </c>
      <c r="P21" s="34">
        <f t="shared" si="5"/>
        <v>2.1411764705882352</v>
      </c>
      <c r="Q21" s="34">
        <f t="shared" si="6"/>
        <v>1.2215596330275229</v>
      </c>
      <c r="R21" s="16"/>
      <c r="S21" s="16"/>
      <c r="T21" s="16"/>
      <c r="U21" s="16"/>
      <c r="V21" s="16"/>
      <c r="W21" s="16"/>
      <c r="X21" s="16"/>
      <c r="Y21" s="16"/>
      <c r="Z21" s="16"/>
      <c r="AA21" s="16"/>
      <c r="AB21" s="16"/>
      <c r="AC21" s="16"/>
      <c r="AD21" s="16"/>
      <c r="AE21" s="16"/>
      <c r="AF21" s="16"/>
      <c r="AG21" s="16"/>
      <c r="AH21" s="16"/>
      <c r="AI21" s="16"/>
      <c r="AJ21" s="16"/>
      <c r="AK21" s="16"/>
      <c r="AL21" s="16"/>
      <c r="AM21" s="16"/>
      <c r="AN21" s="16"/>
      <c r="AO21" s="16"/>
      <c r="AP21" s="16"/>
      <c r="AQ21" s="16"/>
      <c r="AR21" s="16"/>
      <c r="AS21" s="16"/>
    </row>
    <row r="22" spans="2:45" x14ac:dyDescent="0.3">
      <c r="B22" s="42">
        <v>40575</v>
      </c>
      <c r="C22" s="37">
        <f t="shared" si="3"/>
        <v>32.429145572266272</v>
      </c>
      <c r="D22" s="37">
        <f t="shared" si="4"/>
        <v>31.924322952027808</v>
      </c>
      <c r="E22" s="35"/>
      <c r="F22" s="38">
        <v>3500</v>
      </c>
      <c r="G22" s="38">
        <v>2100</v>
      </c>
      <c r="H22" s="37">
        <f t="shared" si="0"/>
        <v>16.095299166378929</v>
      </c>
      <c r="I22" s="37">
        <f t="shared" si="1"/>
        <v>0.75548819693212088</v>
      </c>
      <c r="J22" s="37">
        <f t="shared" si="2"/>
        <v>15.578358208955224</v>
      </c>
      <c r="K22" s="39"/>
      <c r="L22" s="38">
        <v>2850</v>
      </c>
      <c r="M22" s="38">
        <v>915</v>
      </c>
      <c r="N22" s="38">
        <v>3200</v>
      </c>
      <c r="O22" s="37">
        <v>27.182795698924732</v>
      </c>
      <c r="P22" s="37">
        <f t="shared" si="5"/>
        <v>3.3823529411764706</v>
      </c>
      <c r="Q22" s="37">
        <f t="shared" si="6"/>
        <v>1.3591743119266055</v>
      </c>
      <c r="R22" s="16"/>
      <c r="S22" s="16"/>
      <c r="T22" s="16"/>
      <c r="U22" s="16"/>
      <c r="V22" s="16"/>
      <c r="W22" s="16"/>
      <c r="X22" s="16"/>
      <c r="Y22" s="16"/>
      <c r="Z22" s="16"/>
      <c r="AA22" s="16"/>
      <c r="AB22" s="16"/>
      <c r="AC22" s="16"/>
      <c r="AD22" s="16"/>
      <c r="AE22" s="16"/>
      <c r="AF22" s="16"/>
      <c r="AG22" s="16"/>
      <c r="AH22" s="16"/>
      <c r="AI22" s="16"/>
      <c r="AJ22" s="16"/>
      <c r="AK22" s="16"/>
      <c r="AL22" s="16"/>
      <c r="AM22" s="16"/>
      <c r="AN22" s="16"/>
      <c r="AO22" s="16"/>
      <c r="AP22" s="16"/>
      <c r="AQ22" s="16"/>
      <c r="AR22" s="16"/>
      <c r="AS22" s="16"/>
    </row>
    <row r="23" spans="2:45" x14ac:dyDescent="0.3">
      <c r="B23" s="41">
        <v>40603</v>
      </c>
      <c r="C23" s="34">
        <f t="shared" si="3"/>
        <v>32.425259743070811</v>
      </c>
      <c r="D23" s="34">
        <f t="shared" si="4"/>
        <v>31.700779033128491</v>
      </c>
      <c r="E23" s="35"/>
      <c r="F23" s="36">
        <v>3400</v>
      </c>
      <c r="G23" s="36">
        <v>2150</v>
      </c>
      <c r="H23" s="34">
        <f t="shared" si="0"/>
        <v>15.602032259655699</v>
      </c>
      <c r="I23" s="34">
        <f t="shared" si="1"/>
        <v>0.77845136401212456</v>
      </c>
      <c r="J23" s="34">
        <f t="shared" si="2"/>
        <v>16.044776119402986</v>
      </c>
      <c r="K23" s="39"/>
      <c r="L23" s="36">
        <v>2950</v>
      </c>
      <c r="M23" s="36">
        <v>702</v>
      </c>
      <c r="N23" s="36">
        <v>3100</v>
      </c>
      <c r="O23" s="34">
        <v>28.258064516129032</v>
      </c>
      <c r="P23" s="34">
        <f t="shared" si="5"/>
        <v>2.1294117647058823</v>
      </c>
      <c r="Q23" s="34">
        <f t="shared" si="6"/>
        <v>1.3133027522935781</v>
      </c>
      <c r="R23" s="16"/>
      <c r="S23" s="16"/>
      <c r="T23" s="16"/>
      <c r="U23" s="16"/>
      <c r="V23" s="16"/>
      <c r="W23" s="16"/>
      <c r="X23" s="16"/>
      <c r="Y23" s="16"/>
      <c r="Z23" s="16"/>
      <c r="AA23" s="16"/>
      <c r="AB23" s="16"/>
      <c r="AC23" s="16"/>
      <c r="AD23" s="16"/>
      <c r="AE23" s="16"/>
      <c r="AF23" s="16"/>
      <c r="AG23" s="16"/>
      <c r="AH23" s="16"/>
      <c r="AI23" s="16"/>
      <c r="AJ23" s="16"/>
      <c r="AK23" s="16"/>
      <c r="AL23" s="16"/>
      <c r="AM23" s="16"/>
      <c r="AN23" s="16"/>
      <c r="AO23" s="16"/>
      <c r="AP23" s="16"/>
      <c r="AQ23" s="16"/>
      <c r="AR23" s="16"/>
      <c r="AS23" s="16"/>
    </row>
    <row r="24" spans="2:45" x14ac:dyDescent="0.3">
      <c r="B24" s="42">
        <v>40634</v>
      </c>
      <c r="C24" s="37">
        <f t="shared" si="3"/>
        <v>32.174740460513732</v>
      </c>
      <c r="D24" s="37">
        <f t="shared" si="4"/>
        <v>31.223749049782679</v>
      </c>
      <c r="E24" s="35"/>
      <c r="F24" s="38">
        <v>3250</v>
      </c>
      <c r="G24" s="38">
        <v>2200</v>
      </c>
      <c r="H24" s="37">
        <f t="shared" si="0"/>
        <v>14.862131899570858</v>
      </c>
      <c r="I24" s="37">
        <f t="shared" si="1"/>
        <v>0.80141453109212824</v>
      </c>
      <c r="J24" s="37">
        <f t="shared" si="2"/>
        <v>16.511194029850746</v>
      </c>
      <c r="K24" s="35"/>
      <c r="L24" s="38">
        <v>2900</v>
      </c>
      <c r="M24" s="38">
        <v>724</v>
      </c>
      <c r="N24" s="38">
        <v>2950</v>
      </c>
      <c r="O24" s="37">
        <v>27.72043010752688</v>
      </c>
      <c r="P24" s="37">
        <f t="shared" si="5"/>
        <v>2.2588235294117647</v>
      </c>
      <c r="Q24" s="37">
        <f t="shared" si="6"/>
        <v>1.2444954128440366</v>
      </c>
      <c r="R24" s="16"/>
      <c r="S24" s="16"/>
      <c r="T24" s="16"/>
      <c r="U24" s="16"/>
      <c r="V24" s="16"/>
      <c r="W24" s="16"/>
      <c r="X24" s="16"/>
      <c r="Y24" s="16"/>
      <c r="Z24" s="16"/>
      <c r="AA24" s="16"/>
      <c r="AB24" s="16"/>
      <c r="AC24" s="16"/>
      <c r="AD24" s="16"/>
      <c r="AE24" s="16"/>
      <c r="AF24" s="16"/>
      <c r="AG24" s="16"/>
      <c r="AH24" s="16"/>
      <c r="AI24" s="16"/>
      <c r="AJ24" s="16"/>
      <c r="AK24" s="16"/>
      <c r="AL24" s="16"/>
      <c r="AM24" s="16"/>
      <c r="AN24" s="16"/>
      <c r="AO24" s="16"/>
      <c r="AP24" s="16"/>
      <c r="AQ24" s="16"/>
      <c r="AR24" s="16"/>
      <c r="AS24" s="16"/>
    </row>
    <row r="25" spans="2:45" x14ac:dyDescent="0.3">
      <c r="B25" s="41">
        <v>40664</v>
      </c>
      <c r="C25" s="34">
        <f t="shared" si="3"/>
        <v>33.650655351487956</v>
      </c>
      <c r="D25" s="34">
        <f t="shared" si="4"/>
        <v>31.888420695297945</v>
      </c>
      <c r="E25" s="35"/>
      <c r="F25" s="36">
        <v>3450</v>
      </c>
      <c r="G25" s="36">
        <v>2250</v>
      </c>
      <c r="H25" s="34">
        <f t="shared" si="0"/>
        <v>15.848665713017313</v>
      </c>
      <c r="I25" s="34">
        <f t="shared" si="1"/>
        <v>0.82437769817213191</v>
      </c>
      <c r="J25" s="34">
        <f t="shared" si="2"/>
        <v>16.977611940298509</v>
      </c>
      <c r="K25" s="35"/>
      <c r="L25" s="36">
        <v>2950</v>
      </c>
      <c r="M25" s="36">
        <v>730</v>
      </c>
      <c r="N25" s="36">
        <v>3150</v>
      </c>
      <c r="O25" s="34">
        <v>28.258064516129032</v>
      </c>
      <c r="P25" s="34">
        <f t="shared" si="5"/>
        <v>2.2941176470588234</v>
      </c>
      <c r="Q25" s="34">
        <f t="shared" si="6"/>
        <v>1.3362385321100918</v>
      </c>
      <c r="R25" s="16"/>
      <c r="S25" s="16"/>
      <c r="T25" s="16"/>
      <c r="U25" s="16"/>
      <c r="V25" s="16"/>
      <c r="W25" s="16"/>
      <c r="X25" s="16"/>
      <c r="Y25" s="16"/>
      <c r="Z25" s="16"/>
      <c r="AA25" s="16"/>
      <c r="AB25" s="16"/>
      <c r="AC25" s="16"/>
      <c r="AD25" s="16"/>
      <c r="AE25" s="16"/>
      <c r="AF25" s="16"/>
      <c r="AG25" s="16"/>
      <c r="AH25" s="16"/>
      <c r="AI25" s="16"/>
      <c r="AJ25" s="16"/>
      <c r="AK25" s="16"/>
      <c r="AL25" s="16"/>
      <c r="AM25" s="16"/>
      <c r="AN25" s="16"/>
      <c r="AO25" s="16"/>
      <c r="AP25" s="16"/>
      <c r="AQ25" s="16"/>
      <c r="AR25" s="16"/>
      <c r="AS25" s="16"/>
    </row>
    <row r="26" spans="2:45" x14ac:dyDescent="0.3">
      <c r="B26" s="42">
        <v>40695</v>
      </c>
      <c r="C26" s="37">
        <f t="shared" si="3"/>
        <v>35.377089525019251</v>
      </c>
      <c r="D26" s="37">
        <f t="shared" si="4"/>
        <v>32.125441742248839</v>
      </c>
      <c r="E26" s="35"/>
      <c r="F26" s="38">
        <v>3800</v>
      </c>
      <c r="G26" s="38">
        <v>2250</v>
      </c>
      <c r="H26" s="37">
        <f t="shared" si="0"/>
        <v>17.57509988654861</v>
      </c>
      <c r="I26" s="37">
        <f t="shared" si="1"/>
        <v>0.82437769817213191</v>
      </c>
      <c r="J26" s="37">
        <f t="shared" si="2"/>
        <v>16.977611940298509</v>
      </c>
      <c r="K26" s="35"/>
      <c r="L26" s="38">
        <v>2950</v>
      </c>
      <c r="M26" s="38">
        <v>743</v>
      </c>
      <c r="N26" s="38">
        <v>3500</v>
      </c>
      <c r="O26" s="37">
        <v>28.258064516129032</v>
      </c>
      <c r="P26" s="37">
        <f t="shared" si="5"/>
        <v>2.3705882352941177</v>
      </c>
      <c r="Q26" s="37">
        <f t="shared" si="6"/>
        <v>1.4967889908256882</v>
      </c>
      <c r="R26" s="16"/>
      <c r="S26" s="16"/>
      <c r="T26" s="16"/>
      <c r="U26" s="16"/>
      <c r="V26" s="16"/>
      <c r="W26" s="16"/>
      <c r="X26" s="16"/>
      <c r="Y26" s="16"/>
      <c r="Z26" s="16"/>
      <c r="AA26" s="16"/>
      <c r="AB26" s="16"/>
      <c r="AC26" s="16"/>
      <c r="AD26" s="16"/>
      <c r="AE26" s="16"/>
      <c r="AF26" s="16"/>
      <c r="AG26" s="16"/>
      <c r="AH26" s="16"/>
      <c r="AI26" s="16"/>
      <c r="AJ26" s="16"/>
      <c r="AK26" s="16"/>
      <c r="AL26" s="16"/>
      <c r="AM26" s="16"/>
      <c r="AN26" s="16"/>
      <c r="AO26" s="16"/>
      <c r="AP26" s="16"/>
      <c r="AQ26" s="16"/>
      <c r="AR26" s="16"/>
      <c r="AS26" s="16"/>
    </row>
    <row r="27" spans="2:45" x14ac:dyDescent="0.3">
      <c r="B27" s="41">
        <v>40725</v>
      </c>
      <c r="C27" s="34">
        <f t="shared" si="3"/>
        <v>33.901174634045027</v>
      </c>
      <c r="D27" s="34">
        <f t="shared" si="4"/>
        <v>31.937809944930915</v>
      </c>
      <c r="E27" s="35"/>
      <c r="F27" s="36">
        <v>3600</v>
      </c>
      <c r="G27" s="36">
        <v>2200</v>
      </c>
      <c r="H27" s="34">
        <f t="shared" si="0"/>
        <v>16.588566073102154</v>
      </c>
      <c r="I27" s="34">
        <f t="shared" si="1"/>
        <v>0.80141453109212824</v>
      </c>
      <c r="J27" s="34">
        <f t="shared" si="2"/>
        <v>16.511194029850746</v>
      </c>
      <c r="K27" s="35"/>
      <c r="L27" s="36">
        <v>2975</v>
      </c>
      <c r="M27" s="36">
        <v>681</v>
      </c>
      <c r="N27" s="36">
        <v>3300</v>
      </c>
      <c r="O27" s="34">
        <v>28.526881720430108</v>
      </c>
      <c r="P27" s="34">
        <f t="shared" si="5"/>
        <v>2.0058823529411764</v>
      </c>
      <c r="Q27" s="34">
        <f t="shared" si="6"/>
        <v>1.405045871559633</v>
      </c>
      <c r="R27" s="16"/>
      <c r="S27" s="16"/>
      <c r="T27" s="16"/>
      <c r="U27" s="16"/>
      <c r="V27" s="16"/>
      <c r="W27" s="16"/>
      <c r="X27" s="16"/>
      <c r="Y27" s="16"/>
      <c r="Z27" s="16"/>
      <c r="AA27" s="16"/>
      <c r="AB27" s="16"/>
      <c r="AC27" s="16"/>
      <c r="AD27" s="16"/>
      <c r="AE27" s="16"/>
      <c r="AF27" s="16"/>
      <c r="AG27" s="16"/>
      <c r="AH27" s="16"/>
      <c r="AI27" s="16"/>
      <c r="AJ27" s="16"/>
      <c r="AK27" s="16"/>
      <c r="AL27" s="16"/>
      <c r="AM27" s="16"/>
      <c r="AN27" s="16"/>
      <c r="AO27" s="16"/>
      <c r="AP27" s="16"/>
      <c r="AQ27" s="16"/>
      <c r="AR27" s="16"/>
      <c r="AS27" s="16"/>
    </row>
    <row r="28" spans="2:45" x14ac:dyDescent="0.3">
      <c r="B28" s="42">
        <v>40756</v>
      </c>
      <c r="C28" s="37">
        <f t="shared" si="3"/>
        <v>32.429145572266272</v>
      </c>
      <c r="D28" s="37">
        <f t="shared" si="4"/>
        <v>31.897820738239066</v>
      </c>
      <c r="E28" s="35"/>
      <c r="F28" s="38">
        <v>3500</v>
      </c>
      <c r="G28" s="38">
        <v>2100</v>
      </c>
      <c r="H28" s="37">
        <f t="shared" si="0"/>
        <v>16.095299166378929</v>
      </c>
      <c r="I28" s="37">
        <f t="shared" si="1"/>
        <v>0.75548819693212088</v>
      </c>
      <c r="J28" s="37">
        <f t="shared" si="2"/>
        <v>15.578358208955224</v>
      </c>
      <c r="K28" s="35"/>
      <c r="L28" s="38">
        <v>2975</v>
      </c>
      <c r="M28" s="38">
        <v>682</v>
      </c>
      <c r="N28" s="38">
        <v>3200</v>
      </c>
      <c r="O28" s="37">
        <v>28.526881720430108</v>
      </c>
      <c r="P28" s="37">
        <f t="shared" si="5"/>
        <v>2.0117647058823529</v>
      </c>
      <c r="Q28" s="37">
        <f t="shared" si="6"/>
        <v>1.3591743119266055</v>
      </c>
      <c r="R28" s="16"/>
      <c r="S28" s="16"/>
      <c r="T28" s="16"/>
      <c r="U28" s="16"/>
      <c r="V28" s="16"/>
      <c r="W28" s="16"/>
      <c r="X28" s="16"/>
      <c r="Y28" s="16"/>
      <c r="Z28" s="16"/>
      <c r="AA28" s="16"/>
      <c r="AB28" s="16"/>
      <c r="AC28" s="16"/>
      <c r="AD28" s="16"/>
      <c r="AE28" s="16"/>
      <c r="AF28" s="16"/>
      <c r="AG28" s="16"/>
      <c r="AH28" s="16"/>
      <c r="AI28" s="16"/>
      <c r="AJ28" s="16"/>
      <c r="AK28" s="16"/>
      <c r="AL28" s="16"/>
      <c r="AM28" s="16"/>
      <c r="AN28" s="16"/>
      <c r="AO28" s="16"/>
      <c r="AP28" s="16"/>
      <c r="AQ28" s="16"/>
      <c r="AR28" s="16"/>
      <c r="AS28" s="16"/>
    </row>
    <row r="29" spans="2:45" ht="14.15" customHeight="1" x14ac:dyDescent="0.3">
      <c r="B29" s="41">
        <v>40787</v>
      </c>
      <c r="C29" s="34">
        <f t="shared" si="3"/>
        <v>33.411793556517267</v>
      </c>
      <c r="D29" s="34">
        <f t="shared" si="4"/>
        <v>32.143692297872093</v>
      </c>
      <c r="E29" s="35"/>
      <c r="F29" s="36">
        <v>3600</v>
      </c>
      <c r="G29" s="36">
        <v>2150</v>
      </c>
      <c r="H29" s="34">
        <f t="shared" si="0"/>
        <v>16.588566073102154</v>
      </c>
      <c r="I29" s="34">
        <f t="shared" si="1"/>
        <v>0.77845136401212456</v>
      </c>
      <c r="J29" s="34">
        <f t="shared" si="2"/>
        <v>16.044776119402986</v>
      </c>
      <c r="K29" s="35"/>
      <c r="L29" s="36">
        <v>2975</v>
      </c>
      <c r="M29" s="36">
        <v>716</v>
      </c>
      <c r="N29" s="36">
        <v>3300</v>
      </c>
      <c r="O29" s="34">
        <v>28.526881720430108</v>
      </c>
      <c r="P29" s="34">
        <f t="shared" si="5"/>
        <v>2.2117647058823531</v>
      </c>
      <c r="Q29" s="34">
        <f t="shared" si="6"/>
        <v>1.405045871559633</v>
      </c>
      <c r="R29" s="16"/>
      <c r="S29" s="16"/>
      <c r="T29" s="16"/>
      <c r="U29" s="16"/>
      <c r="V29" s="16"/>
      <c r="W29" s="16"/>
      <c r="X29" s="16"/>
      <c r="Y29" s="16"/>
      <c r="Z29" s="16"/>
      <c r="AA29" s="16"/>
      <c r="AB29" s="16"/>
      <c r="AC29" s="16"/>
      <c r="AD29" s="16"/>
      <c r="AE29" s="16"/>
      <c r="AF29" s="16"/>
      <c r="AG29" s="16"/>
      <c r="AH29" s="16"/>
      <c r="AI29" s="16"/>
      <c r="AJ29" s="16"/>
      <c r="AK29" s="16"/>
      <c r="AL29" s="16"/>
      <c r="AM29" s="16"/>
      <c r="AN29" s="16"/>
      <c r="AO29" s="16"/>
      <c r="AP29" s="16"/>
      <c r="AQ29" s="16"/>
      <c r="AR29" s="16"/>
      <c r="AS29" s="16"/>
    </row>
    <row r="30" spans="2:45" ht="16" customHeight="1" x14ac:dyDescent="0.3">
      <c r="B30" s="42">
        <v>40817</v>
      </c>
      <c r="C30" s="37">
        <f t="shared" si="3"/>
        <v>32.918526649794039</v>
      </c>
      <c r="D30" s="37">
        <f t="shared" si="4"/>
        <v>31.642539270813383</v>
      </c>
      <c r="E30" s="35"/>
      <c r="F30" s="38">
        <v>3500</v>
      </c>
      <c r="G30" s="38">
        <v>2150</v>
      </c>
      <c r="H30" s="37">
        <f t="shared" si="0"/>
        <v>16.095299166378929</v>
      </c>
      <c r="I30" s="37">
        <f t="shared" si="1"/>
        <v>0.77845136401212456</v>
      </c>
      <c r="J30" s="37">
        <f t="shared" si="2"/>
        <v>16.044776119402986</v>
      </c>
      <c r="K30" s="35"/>
      <c r="L30" s="38">
        <v>2925</v>
      </c>
      <c r="M30" s="38">
        <v>730</v>
      </c>
      <c r="N30" s="38">
        <v>3200</v>
      </c>
      <c r="O30" s="37">
        <v>27.989247311827956</v>
      </c>
      <c r="P30" s="37">
        <f t="shared" si="5"/>
        <v>2.2941176470588234</v>
      </c>
      <c r="Q30" s="37">
        <f t="shared" si="6"/>
        <v>1.3591743119266055</v>
      </c>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row>
    <row r="31" spans="2:45" ht="16" customHeight="1" x14ac:dyDescent="0.3">
      <c r="B31" s="41">
        <v>40848</v>
      </c>
      <c r="C31" s="34">
        <f t="shared" si="3"/>
        <v>31.19209247626274</v>
      </c>
      <c r="D31" s="34">
        <f t="shared" si="4"/>
        <v>31.83492998856838</v>
      </c>
      <c r="E31" s="35"/>
      <c r="F31" s="36">
        <v>3150</v>
      </c>
      <c r="G31" s="36">
        <v>2150</v>
      </c>
      <c r="H31" s="34">
        <f t="shared" si="0"/>
        <v>14.36886499284763</v>
      </c>
      <c r="I31" s="34">
        <f t="shared" si="1"/>
        <v>0.77845136401212456</v>
      </c>
      <c r="J31" s="34">
        <f t="shared" si="2"/>
        <v>16.044776119402986</v>
      </c>
      <c r="K31" s="35"/>
      <c r="L31" s="36">
        <v>2925</v>
      </c>
      <c r="M31" s="36">
        <v>790</v>
      </c>
      <c r="N31" s="36">
        <v>2850</v>
      </c>
      <c r="O31" s="34">
        <v>27.989247311827956</v>
      </c>
      <c r="P31" s="34">
        <f t="shared" si="5"/>
        <v>2.6470588235294117</v>
      </c>
      <c r="Q31" s="34">
        <f t="shared" si="6"/>
        <v>1.1986238532110092</v>
      </c>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row>
    <row r="32" spans="2:45" ht="16" customHeight="1" x14ac:dyDescent="0.3">
      <c r="B32" s="42">
        <v>40878</v>
      </c>
      <c r="C32" s="37">
        <f t="shared" si="3"/>
        <v>29.962811038650131</v>
      </c>
      <c r="D32" s="37">
        <f t="shared" si="4"/>
        <v>31.936710884412953</v>
      </c>
      <c r="E32" s="35"/>
      <c r="F32" s="38">
        <v>3000</v>
      </c>
      <c r="G32" s="38">
        <v>2100</v>
      </c>
      <c r="H32" s="37">
        <f t="shared" si="0"/>
        <v>13.628964632762788</v>
      </c>
      <c r="I32" s="37">
        <f t="shared" si="1"/>
        <v>0.75548819693212088</v>
      </c>
      <c r="J32" s="37">
        <f t="shared" si="2"/>
        <v>15.578358208955224</v>
      </c>
      <c r="K32" s="35"/>
      <c r="L32" s="38">
        <v>2925</v>
      </c>
      <c r="M32" s="38">
        <v>819</v>
      </c>
      <c r="N32" s="38">
        <v>2700</v>
      </c>
      <c r="O32" s="37">
        <v>27.989247311827956</v>
      </c>
      <c r="P32" s="37">
        <f t="shared" si="5"/>
        <v>2.8176470588235296</v>
      </c>
      <c r="Q32" s="37">
        <f t="shared" si="6"/>
        <v>1.129816513761468</v>
      </c>
      <c r="R32" s="16"/>
      <c r="S32" s="16"/>
      <c r="T32" s="16"/>
      <c r="U32" s="16"/>
      <c r="V32" s="16"/>
      <c r="W32" s="16"/>
      <c r="X32" s="16"/>
      <c r="Y32" s="16"/>
      <c r="Z32" s="16"/>
      <c r="AA32" s="16"/>
      <c r="AB32" s="16"/>
      <c r="AC32" s="16"/>
      <c r="AD32" s="16"/>
      <c r="AE32" s="16"/>
      <c r="AF32" s="16"/>
      <c r="AG32" s="16"/>
      <c r="AH32" s="16"/>
      <c r="AI32" s="16"/>
      <c r="AJ32" s="16"/>
      <c r="AK32" s="16"/>
      <c r="AL32" s="16"/>
      <c r="AM32" s="16"/>
      <c r="AN32" s="16"/>
      <c r="AO32" s="16"/>
      <c r="AP32" s="16"/>
      <c r="AQ32" s="16"/>
      <c r="AR32" s="16"/>
      <c r="AS32" s="16"/>
    </row>
    <row r="33" spans="1:45" x14ac:dyDescent="0.3">
      <c r="B33" s="41">
        <v>40909</v>
      </c>
      <c r="C33" s="34">
        <f t="shared" si="3"/>
        <v>28.980163054399142</v>
      </c>
      <c r="D33" s="34">
        <f t="shared" si="4"/>
        <v>31.908486383603456</v>
      </c>
      <c r="E33" s="35"/>
      <c r="F33" s="36">
        <v>2900</v>
      </c>
      <c r="G33" s="36">
        <v>2050</v>
      </c>
      <c r="H33" s="34">
        <f t="shared" si="0"/>
        <v>13.13569772603956</v>
      </c>
      <c r="I33" s="34">
        <f t="shared" si="1"/>
        <v>0.7325250298521172</v>
      </c>
      <c r="J33" s="34">
        <f t="shared" si="2"/>
        <v>15.111940298507463</v>
      </c>
      <c r="K33" s="35"/>
      <c r="L33" s="36">
        <v>2925</v>
      </c>
      <c r="M33" s="36">
        <v>822</v>
      </c>
      <c r="N33" s="36">
        <v>2600</v>
      </c>
      <c r="O33" s="34">
        <v>27.989247311827956</v>
      </c>
      <c r="P33" s="34">
        <f t="shared" si="5"/>
        <v>2.835294117647059</v>
      </c>
      <c r="Q33" s="34">
        <f t="shared" si="6"/>
        <v>1.0839449541284403</v>
      </c>
      <c r="R33" s="16"/>
      <c r="S33" s="16"/>
      <c r="T33" s="16"/>
      <c r="U33" s="16"/>
      <c r="V33" s="16"/>
      <c r="W33" s="16"/>
      <c r="X33" s="16"/>
      <c r="Y33" s="16"/>
      <c r="Z33" s="16"/>
      <c r="AA33" s="16"/>
      <c r="AB33" s="16"/>
      <c r="AC33" s="16"/>
      <c r="AD33" s="16"/>
      <c r="AE33" s="16"/>
      <c r="AF33" s="16"/>
      <c r="AG33" s="16"/>
      <c r="AH33" s="16"/>
      <c r="AI33" s="16"/>
      <c r="AJ33" s="16"/>
      <c r="AK33" s="16"/>
      <c r="AL33" s="16"/>
      <c r="AM33" s="16"/>
      <c r="AN33" s="16"/>
      <c r="AO33" s="16"/>
      <c r="AP33" s="16"/>
      <c r="AQ33" s="16"/>
      <c r="AR33" s="16"/>
      <c r="AS33" s="16"/>
    </row>
    <row r="34" spans="1:45" ht="16" customHeight="1" x14ac:dyDescent="0.3">
      <c r="B34" s="42">
        <v>40940</v>
      </c>
      <c r="C34" s="37">
        <f t="shared" si="3"/>
        <v>27.997515070148147</v>
      </c>
      <c r="D34" s="37">
        <f t="shared" si="4"/>
        <v>31.503791294558663</v>
      </c>
      <c r="E34" s="35"/>
      <c r="F34" s="38">
        <v>2800</v>
      </c>
      <c r="G34" s="38">
        <v>2000</v>
      </c>
      <c r="H34" s="37">
        <f t="shared" si="0"/>
        <v>12.642430819316331</v>
      </c>
      <c r="I34" s="37">
        <f t="shared" si="1"/>
        <v>0.70956186277211353</v>
      </c>
      <c r="J34" s="37">
        <f t="shared" si="2"/>
        <v>14.645522388059701</v>
      </c>
      <c r="K34" s="35"/>
      <c r="L34" s="38">
        <v>2925</v>
      </c>
      <c r="M34" s="38">
        <v>761</v>
      </c>
      <c r="N34" s="38">
        <v>2500</v>
      </c>
      <c r="O34" s="37">
        <v>27.989247311827956</v>
      </c>
      <c r="P34" s="37">
        <f t="shared" si="5"/>
        <v>2.4764705882352942</v>
      </c>
      <c r="Q34" s="37">
        <f t="shared" si="6"/>
        <v>1.0380733944954128</v>
      </c>
      <c r="R34" s="16"/>
      <c r="S34" s="16"/>
      <c r="T34" s="16"/>
      <c r="U34" s="16"/>
      <c r="V34" s="16"/>
      <c r="W34" s="16"/>
      <c r="X34" s="16"/>
      <c r="Y34" s="16"/>
      <c r="Z34" s="16"/>
      <c r="AA34" s="16"/>
      <c r="AB34" s="16"/>
      <c r="AC34" s="16"/>
      <c r="AD34" s="16"/>
      <c r="AE34" s="16"/>
      <c r="AF34" s="16"/>
      <c r="AG34" s="16"/>
      <c r="AH34" s="16"/>
      <c r="AI34" s="16"/>
      <c r="AJ34" s="16"/>
      <c r="AK34" s="16"/>
      <c r="AL34" s="16"/>
      <c r="AM34" s="16"/>
      <c r="AN34" s="16"/>
      <c r="AO34" s="16"/>
      <c r="AP34" s="16"/>
      <c r="AQ34" s="16"/>
      <c r="AR34" s="16"/>
      <c r="AS34" s="16"/>
    </row>
    <row r="35" spans="1:45" s="23" customFormat="1" x14ac:dyDescent="0.3">
      <c r="A35" s="22"/>
      <c r="B35" s="41">
        <v>40969</v>
      </c>
      <c r="C35" s="34">
        <f t="shared" si="3"/>
        <v>24.066923133144176</v>
      </c>
      <c r="D35" s="34">
        <f t="shared" si="4"/>
        <v>30.926187408967728</v>
      </c>
      <c r="E35" s="35"/>
      <c r="F35" s="36">
        <v>2400</v>
      </c>
      <c r="G35" s="36">
        <v>1800</v>
      </c>
      <c r="H35" s="34">
        <f t="shared" si="0"/>
        <v>10.66936319242342</v>
      </c>
      <c r="I35" s="34">
        <f t="shared" si="1"/>
        <v>0.61770919445209882</v>
      </c>
      <c r="J35" s="34">
        <f t="shared" si="2"/>
        <v>12.779850746268657</v>
      </c>
      <c r="K35" s="39"/>
      <c r="L35" s="36">
        <v>2925</v>
      </c>
      <c r="M35" s="36">
        <v>694</v>
      </c>
      <c r="N35" s="36">
        <v>2100</v>
      </c>
      <c r="O35" s="34">
        <v>27.989247311827956</v>
      </c>
      <c r="P35" s="34">
        <f t="shared" si="5"/>
        <v>2.0823529411764707</v>
      </c>
      <c r="Q35" s="34">
        <f t="shared" si="6"/>
        <v>0.8545871559633027</v>
      </c>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22"/>
      <c r="AS35" s="22"/>
    </row>
    <row r="36" spans="1:45" x14ac:dyDescent="0.3">
      <c r="B36" s="42">
        <v>41000</v>
      </c>
      <c r="C36" s="37">
        <f t="shared" si="3"/>
        <v>22.101627164642188</v>
      </c>
      <c r="D36" s="37">
        <f t="shared" si="4"/>
        <v>30.649599583819324</v>
      </c>
      <c r="E36" s="35"/>
      <c r="F36" s="38">
        <v>2200</v>
      </c>
      <c r="G36" s="38">
        <v>1700</v>
      </c>
      <c r="H36" s="37">
        <f t="shared" si="0"/>
        <v>9.6828293789769653</v>
      </c>
      <c r="I36" s="37">
        <f t="shared" si="1"/>
        <v>0.57178286029209147</v>
      </c>
      <c r="J36" s="37">
        <f t="shared" si="2"/>
        <v>11.847014925373134</v>
      </c>
      <c r="K36" s="35"/>
      <c r="L36" s="38">
        <v>2925</v>
      </c>
      <c r="M36" s="38">
        <v>662.57640000000004</v>
      </c>
      <c r="N36" s="38">
        <v>1900</v>
      </c>
      <c r="O36" s="37">
        <v>27.989247311827956</v>
      </c>
      <c r="P36" s="37">
        <f t="shared" si="5"/>
        <v>1.8975082352941177</v>
      </c>
      <c r="Q36" s="37">
        <f t="shared" si="6"/>
        <v>0.76284403669724765</v>
      </c>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row>
    <row r="37" spans="1:45" x14ac:dyDescent="0.3">
      <c r="B37" s="41">
        <v>41030</v>
      </c>
      <c r="C37" s="34">
        <f t="shared" si="3"/>
        <v>21.854993711280578</v>
      </c>
      <c r="D37" s="34">
        <f t="shared" si="4"/>
        <v>29.932697630694779</v>
      </c>
      <c r="E37" s="35"/>
      <c r="F37" s="36">
        <v>2150</v>
      </c>
      <c r="G37" s="36">
        <v>1700</v>
      </c>
      <c r="H37" s="34">
        <f t="shared" si="0"/>
        <v>9.4361959256153511</v>
      </c>
      <c r="I37" s="34">
        <f t="shared" si="1"/>
        <v>0.57178286029209147</v>
      </c>
      <c r="J37" s="34">
        <f t="shared" si="2"/>
        <v>11.847014925373134</v>
      </c>
      <c r="K37" s="35"/>
      <c r="L37" s="36">
        <v>2875</v>
      </c>
      <c r="M37" s="36">
        <v>636</v>
      </c>
      <c r="N37" s="36">
        <v>1850</v>
      </c>
      <c r="O37" s="34">
        <v>27.451612903225808</v>
      </c>
      <c r="P37" s="34">
        <f t="shared" si="5"/>
        <v>1.7411764705882353</v>
      </c>
      <c r="Q37" s="34">
        <f t="shared" si="6"/>
        <v>0.73990825688073392</v>
      </c>
      <c r="R37" s="16"/>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row>
    <row r="38" spans="1:45" x14ac:dyDescent="0.3">
      <c r="B38" s="42">
        <v>41061</v>
      </c>
      <c r="C38" s="37">
        <f t="shared" si="3"/>
        <v>23.327022773059333</v>
      </c>
      <c r="D38" s="37">
        <f t="shared" si="4"/>
        <v>29.862693162497319</v>
      </c>
      <c r="E38" s="35"/>
      <c r="F38" s="38">
        <v>2250</v>
      </c>
      <c r="G38" s="38">
        <v>1800</v>
      </c>
      <c r="H38" s="37">
        <f t="shared" si="0"/>
        <v>9.9294628323385776</v>
      </c>
      <c r="I38" s="37">
        <f t="shared" si="1"/>
        <v>0.61770919445209882</v>
      </c>
      <c r="J38" s="37">
        <f t="shared" si="2"/>
        <v>12.779850746268657</v>
      </c>
      <c r="K38" s="35"/>
      <c r="L38" s="38">
        <v>2850</v>
      </c>
      <c r="M38" s="38">
        <v>662</v>
      </c>
      <c r="N38" s="38">
        <v>1950</v>
      </c>
      <c r="O38" s="37">
        <v>27.182795698924732</v>
      </c>
      <c r="P38" s="37">
        <f t="shared" si="5"/>
        <v>1.8941176470588235</v>
      </c>
      <c r="Q38" s="37">
        <f t="shared" si="6"/>
        <v>0.7857798165137615</v>
      </c>
      <c r="R38" s="16"/>
      <c r="S38" s="16"/>
      <c r="T38" s="16"/>
      <c r="U38" s="16"/>
      <c r="V38" s="16"/>
      <c r="W38" s="16"/>
      <c r="X38" s="16"/>
      <c r="Y38" s="16"/>
      <c r="Z38" s="16"/>
      <c r="AA38" s="16"/>
      <c r="AB38" s="16"/>
      <c r="AC38" s="16"/>
      <c r="AD38" s="16"/>
      <c r="AE38" s="16"/>
      <c r="AF38" s="16"/>
      <c r="AG38" s="16"/>
      <c r="AH38" s="16"/>
      <c r="AI38" s="16"/>
      <c r="AJ38" s="16"/>
      <c r="AK38" s="16"/>
      <c r="AL38" s="16"/>
      <c r="AM38" s="16"/>
      <c r="AN38" s="16"/>
      <c r="AO38" s="16"/>
      <c r="AP38" s="16"/>
      <c r="AQ38" s="16"/>
      <c r="AR38" s="16"/>
      <c r="AS38" s="16"/>
    </row>
    <row r="39" spans="1:45" x14ac:dyDescent="0.3">
      <c r="B39" s="41">
        <v>41091</v>
      </c>
      <c r="C39" s="34">
        <f t="shared" si="3"/>
        <v>23.203706046378528</v>
      </c>
      <c r="D39" s="34">
        <f t="shared" si="4"/>
        <v>30.233578213765533</v>
      </c>
      <c r="E39" s="35"/>
      <c r="F39" s="36">
        <v>2225</v>
      </c>
      <c r="G39" s="36">
        <v>1800</v>
      </c>
      <c r="H39" s="34">
        <f t="shared" si="0"/>
        <v>9.8061461056577706</v>
      </c>
      <c r="I39" s="34">
        <f t="shared" si="1"/>
        <v>0.61770919445209882</v>
      </c>
      <c r="J39" s="34">
        <f t="shared" si="2"/>
        <v>12.779850746268657</v>
      </c>
      <c r="K39" s="35"/>
      <c r="L39" s="36">
        <v>2850</v>
      </c>
      <c r="M39" s="36">
        <v>727</v>
      </c>
      <c r="N39" s="36">
        <v>1925</v>
      </c>
      <c r="O39" s="34">
        <v>27.182795698924732</v>
      </c>
      <c r="P39" s="34">
        <f t="shared" si="5"/>
        <v>2.276470588235294</v>
      </c>
      <c r="Q39" s="34">
        <f t="shared" si="6"/>
        <v>0.77431192660550463</v>
      </c>
      <c r="R39" s="16"/>
      <c r="S39" s="16"/>
      <c r="T39" s="16"/>
      <c r="U39" s="16"/>
      <c r="V39" s="16"/>
      <c r="W39" s="16"/>
      <c r="X39" s="16"/>
      <c r="Y39" s="16"/>
      <c r="Z39" s="16"/>
      <c r="AA39" s="16"/>
      <c r="AB39" s="16"/>
      <c r="AC39" s="16"/>
      <c r="AD39" s="16"/>
      <c r="AE39" s="16"/>
      <c r="AF39" s="16"/>
      <c r="AG39" s="16"/>
      <c r="AH39" s="16"/>
      <c r="AI39" s="16"/>
      <c r="AJ39" s="16"/>
      <c r="AK39" s="16"/>
      <c r="AL39" s="16"/>
      <c r="AM39" s="16"/>
      <c r="AN39" s="16"/>
      <c r="AO39" s="16"/>
      <c r="AP39" s="16"/>
      <c r="AQ39" s="16"/>
      <c r="AR39" s="16"/>
      <c r="AS39" s="16"/>
    </row>
    <row r="40" spans="1:45" x14ac:dyDescent="0.3">
      <c r="B40" s="42">
        <v>41122</v>
      </c>
      <c r="C40" s="37">
        <f t="shared" si="3"/>
        <v>25.777813989893623</v>
      </c>
      <c r="D40" s="37">
        <f t="shared" si="4"/>
        <v>30.875610895438374</v>
      </c>
      <c r="E40" s="35"/>
      <c r="F40" s="38">
        <v>2350</v>
      </c>
      <c r="G40" s="38">
        <v>2000</v>
      </c>
      <c r="H40" s="37">
        <f t="shared" si="0"/>
        <v>10.422729739061806</v>
      </c>
      <c r="I40" s="37">
        <f t="shared" si="1"/>
        <v>0.70956186277211353</v>
      </c>
      <c r="J40" s="37">
        <f t="shared" si="2"/>
        <v>14.645522388059701</v>
      </c>
      <c r="K40" s="35"/>
      <c r="L40" s="38">
        <v>2900</v>
      </c>
      <c r="M40" s="38">
        <v>735</v>
      </c>
      <c r="N40" s="38">
        <v>2050</v>
      </c>
      <c r="O40" s="37">
        <v>27.72043010752688</v>
      </c>
      <c r="P40" s="37">
        <f t="shared" si="5"/>
        <v>2.3235294117647061</v>
      </c>
      <c r="Q40" s="37">
        <f t="shared" si="6"/>
        <v>0.83165137614678897</v>
      </c>
      <c r="R40" s="16"/>
      <c r="S40" s="16"/>
      <c r="T40" s="16"/>
      <c r="U40" s="16"/>
      <c r="V40" s="16"/>
      <c r="W40" s="16"/>
      <c r="X40" s="16"/>
      <c r="Y40" s="16"/>
      <c r="Z40" s="16"/>
      <c r="AA40" s="16"/>
      <c r="AB40" s="16"/>
      <c r="AC40" s="16"/>
      <c r="AD40" s="16"/>
      <c r="AE40" s="16"/>
      <c r="AF40" s="16"/>
      <c r="AG40" s="16"/>
      <c r="AH40" s="16"/>
      <c r="AI40" s="16"/>
      <c r="AJ40" s="16"/>
      <c r="AK40" s="16"/>
      <c r="AL40" s="16"/>
      <c r="AM40" s="16"/>
      <c r="AN40" s="16"/>
      <c r="AO40" s="16"/>
      <c r="AP40" s="16"/>
      <c r="AQ40" s="16"/>
      <c r="AR40" s="16"/>
      <c r="AS40" s="16"/>
    </row>
    <row r="41" spans="1:45" x14ac:dyDescent="0.3">
      <c r="B41" s="41">
        <v>41153</v>
      </c>
      <c r="C41" s="34">
        <f t="shared" si="3"/>
        <v>30.440534628591507</v>
      </c>
      <c r="D41" s="34">
        <f t="shared" si="4"/>
        <v>31.775566793749164</v>
      </c>
      <c r="E41" s="35"/>
      <c r="F41" s="36">
        <v>2700</v>
      </c>
      <c r="G41" s="36">
        <v>2300</v>
      </c>
      <c r="H41" s="34">
        <f t="shared" si="0"/>
        <v>12.149163912593105</v>
      </c>
      <c r="I41" s="34">
        <f t="shared" si="1"/>
        <v>0.84734086525213559</v>
      </c>
      <c r="J41" s="34">
        <f t="shared" si="2"/>
        <v>17.444029850746269</v>
      </c>
      <c r="K41" s="35"/>
      <c r="L41" s="36">
        <v>2925</v>
      </c>
      <c r="M41" s="36">
        <v>815</v>
      </c>
      <c r="N41" s="36">
        <v>2400</v>
      </c>
      <c r="O41" s="34">
        <v>27.989247311827956</v>
      </c>
      <c r="P41" s="34">
        <f t="shared" si="5"/>
        <v>2.7941176470588234</v>
      </c>
      <c r="Q41" s="34">
        <f t="shared" si="6"/>
        <v>0.99220183486238533</v>
      </c>
      <c r="R41" s="16"/>
      <c r="S41" s="16"/>
      <c r="T41" s="16"/>
      <c r="U41" s="16"/>
      <c r="V41" s="16"/>
      <c r="W41" s="16"/>
      <c r="X41" s="16"/>
      <c r="Y41" s="16"/>
      <c r="Z41" s="16"/>
      <c r="AA41" s="16"/>
      <c r="AB41" s="16"/>
      <c r="AC41" s="16"/>
      <c r="AD41" s="16"/>
      <c r="AE41" s="16"/>
      <c r="AF41" s="16"/>
      <c r="AG41" s="16"/>
      <c r="AH41" s="16"/>
      <c r="AI41" s="16"/>
      <c r="AJ41" s="16"/>
      <c r="AK41" s="16"/>
      <c r="AL41" s="16"/>
      <c r="AM41" s="16"/>
      <c r="AN41" s="16"/>
      <c r="AO41" s="16"/>
      <c r="AP41" s="16"/>
      <c r="AQ41" s="16"/>
      <c r="AR41" s="16"/>
      <c r="AS41" s="16"/>
    </row>
    <row r="42" spans="1:45" x14ac:dyDescent="0.3">
      <c r="B42" s="42">
        <v>41183</v>
      </c>
      <c r="C42" s="37">
        <f t="shared" si="3"/>
        <v>31.176549159480885</v>
      </c>
      <c r="D42" s="37">
        <f t="shared" si="4"/>
        <v>31.542255514742148</v>
      </c>
      <c r="E42" s="35"/>
      <c r="F42" s="38">
        <v>2750</v>
      </c>
      <c r="G42" s="38">
        <v>2350</v>
      </c>
      <c r="H42" s="37">
        <f t="shared" si="0"/>
        <v>12.395797365954719</v>
      </c>
      <c r="I42" s="37">
        <f t="shared" si="1"/>
        <v>0.87030403233213927</v>
      </c>
      <c r="J42" s="37">
        <f t="shared" si="2"/>
        <v>17.910447761194028</v>
      </c>
      <c r="K42" s="35"/>
      <c r="L42" s="38">
        <v>2925</v>
      </c>
      <c r="M42" s="38">
        <v>771.43799999999999</v>
      </c>
      <c r="N42" s="38">
        <v>2450</v>
      </c>
      <c r="O42" s="37">
        <v>27.989247311827956</v>
      </c>
      <c r="P42" s="37">
        <f t="shared" si="5"/>
        <v>2.5378705882352937</v>
      </c>
      <c r="Q42" s="37">
        <f t="shared" si="6"/>
        <v>1.0151376146788991</v>
      </c>
      <c r="R42" s="16"/>
      <c r="S42" s="16"/>
      <c r="T42" s="16"/>
      <c r="U42" s="16"/>
      <c r="V42" s="16"/>
      <c r="W42" s="16"/>
      <c r="X42" s="16"/>
      <c r="Y42" s="16"/>
      <c r="Z42" s="16"/>
      <c r="AA42" s="16"/>
      <c r="AB42" s="16"/>
      <c r="AC42" s="16"/>
      <c r="AD42" s="16"/>
      <c r="AE42" s="16"/>
      <c r="AF42" s="16"/>
      <c r="AG42" s="16"/>
      <c r="AH42" s="16"/>
      <c r="AI42" s="16"/>
      <c r="AJ42" s="16"/>
      <c r="AK42" s="16"/>
      <c r="AL42" s="16"/>
      <c r="AM42" s="16"/>
      <c r="AN42" s="16"/>
      <c r="AO42" s="16"/>
      <c r="AP42" s="16"/>
      <c r="AQ42" s="16"/>
      <c r="AR42" s="16"/>
      <c r="AS42" s="16"/>
    </row>
    <row r="43" spans="1:45" x14ac:dyDescent="0.3">
      <c r="B43" s="41">
        <v>41214</v>
      </c>
      <c r="C43" s="34">
        <f t="shared" si="3"/>
        <v>32.15919714373188</v>
      </c>
      <c r="D43" s="34">
        <f t="shared" si="4"/>
        <v>31.662021192022237</v>
      </c>
      <c r="E43" s="35"/>
      <c r="F43" s="36">
        <v>2850</v>
      </c>
      <c r="G43" s="36">
        <v>2400</v>
      </c>
      <c r="H43" s="34">
        <f t="shared" si="0"/>
        <v>12.889064272677945</v>
      </c>
      <c r="I43" s="34">
        <f t="shared" si="1"/>
        <v>0.89326719941214294</v>
      </c>
      <c r="J43" s="34">
        <f t="shared" si="2"/>
        <v>18.376865671641792</v>
      </c>
      <c r="K43" s="35"/>
      <c r="L43" s="36">
        <v>2925</v>
      </c>
      <c r="M43" s="36">
        <v>784</v>
      </c>
      <c r="N43" s="36">
        <v>2550</v>
      </c>
      <c r="O43" s="34">
        <v>27.989247311827956</v>
      </c>
      <c r="P43" s="34">
        <f t="shared" si="5"/>
        <v>2.611764705882353</v>
      </c>
      <c r="Q43" s="34">
        <f t="shared" si="6"/>
        <v>1.0610091743119265</v>
      </c>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row>
    <row r="44" spans="1:45" x14ac:dyDescent="0.3">
      <c r="B44" s="42">
        <v>41244</v>
      </c>
      <c r="C44" s="37">
        <f t="shared" si="3"/>
        <v>30.933801535314736</v>
      </c>
      <c r="D44" s="37">
        <f t="shared" si="4"/>
        <v>31.850850118088076</v>
      </c>
      <c r="E44" s="35"/>
      <c r="F44" s="38">
        <v>2800</v>
      </c>
      <c r="G44" s="38">
        <v>2300</v>
      </c>
      <c r="H44" s="37">
        <f t="shared" si="0"/>
        <v>12.642430819316331</v>
      </c>
      <c r="I44" s="37">
        <f t="shared" si="1"/>
        <v>0.84734086525213559</v>
      </c>
      <c r="J44" s="37">
        <f t="shared" si="2"/>
        <v>17.444029850746269</v>
      </c>
      <c r="K44" s="35"/>
      <c r="L44" s="38">
        <v>2925</v>
      </c>
      <c r="M44" s="38">
        <v>820</v>
      </c>
      <c r="N44" s="38">
        <v>2500</v>
      </c>
      <c r="O44" s="37">
        <v>27.989247311827956</v>
      </c>
      <c r="P44" s="37">
        <f t="shared" si="5"/>
        <v>2.8235294117647061</v>
      </c>
      <c r="Q44" s="37">
        <f t="shared" si="6"/>
        <v>1.0380733944954128</v>
      </c>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row>
    <row r="45" spans="1:45" x14ac:dyDescent="0.3">
      <c r="B45" s="41">
        <v>41275</v>
      </c>
      <c r="C45" s="34">
        <f t="shared" si="3"/>
        <v>31.423182612842499</v>
      </c>
      <c r="D45" s="34">
        <f t="shared" si="4"/>
        <v>32.470837467866694</v>
      </c>
      <c r="E45" s="35"/>
      <c r="F45" s="36">
        <v>2800</v>
      </c>
      <c r="G45" s="36">
        <v>2350</v>
      </c>
      <c r="H45" s="34">
        <f t="shared" si="0"/>
        <v>12.642430819316331</v>
      </c>
      <c r="I45" s="34">
        <f t="shared" si="1"/>
        <v>0.87030403233213927</v>
      </c>
      <c r="J45" s="34">
        <f t="shared" si="2"/>
        <v>17.910447761194028</v>
      </c>
      <c r="K45" s="35"/>
      <c r="L45" s="36">
        <v>2975</v>
      </c>
      <c r="M45" s="36">
        <v>834</v>
      </c>
      <c r="N45" s="36">
        <v>2500</v>
      </c>
      <c r="O45" s="34">
        <v>28.526881720430108</v>
      </c>
      <c r="P45" s="34">
        <f t="shared" si="5"/>
        <v>2.9058823529411764</v>
      </c>
      <c r="Q45" s="34">
        <f t="shared" si="6"/>
        <v>1.0380733944954128</v>
      </c>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row>
    <row r="46" spans="1:45" x14ac:dyDescent="0.3">
      <c r="B46" s="42">
        <v>41306</v>
      </c>
      <c r="C46" s="37">
        <f t="shared" si="3"/>
        <v>31.669816066204113</v>
      </c>
      <c r="D46" s="37">
        <f t="shared" si="4"/>
        <v>32.261832071212623</v>
      </c>
      <c r="E46" s="35"/>
      <c r="F46" s="38">
        <v>2850</v>
      </c>
      <c r="G46" s="38">
        <v>2350</v>
      </c>
      <c r="H46" s="37">
        <f t="shared" si="0"/>
        <v>12.889064272677945</v>
      </c>
      <c r="I46" s="37">
        <f t="shared" si="1"/>
        <v>0.87030403233213927</v>
      </c>
      <c r="J46" s="37">
        <f t="shared" si="2"/>
        <v>17.910447761194028</v>
      </c>
      <c r="K46" s="35"/>
      <c r="L46" s="38">
        <v>2975</v>
      </c>
      <c r="M46" s="38">
        <v>794.57</v>
      </c>
      <c r="N46" s="38">
        <v>2550</v>
      </c>
      <c r="O46" s="37">
        <v>28.526881720430108</v>
      </c>
      <c r="P46" s="37">
        <f t="shared" si="5"/>
        <v>2.6739411764705885</v>
      </c>
      <c r="Q46" s="37">
        <f t="shared" si="6"/>
        <v>1.0610091743119265</v>
      </c>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row>
    <row r="47" spans="1:45" x14ac:dyDescent="0.3">
      <c r="B47" s="41">
        <v>41334</v>
      </c>
      <c r="C47" s="34">
        <f t="shared" si="3"/>
        <v>32.652464050455109</v>
      </c>
      <c r="D47" s="34">
        <f t="shared" si="4"/>
        <v>32.261403188087904</v>
      </c>
      <c r="E47" s="35"/>
      <c r="F47" s="36">
        <v>2950</v>
      </c>
      <c r="G47" s="36">
        <v>2400</v>
      </c>
      <c r="H47" s="34">
        <f t="shared" si="0"/>
        <v>13.382331179401174</v>
      </c>
      <c r="I47" s="34">
        <f t="shared" si="1"/>
        <v>0.89326719941214294</v>
      </c>
      <c r="J47" s="34">
        <f t="shared" si="2"/>
        <v>18.376865671641792</v>
      </c>
      <c r="K47" s="35"/>
      <c r="L47" s="36">
        <v>3000</v>
      </c>
      <c r="M47" s="36">
        <v>741</v>
      </c>
      <c r="N47" s="36">
        <v>2650</v>
      </c>
      <c r="O47" s="34">
        <v>28.795698924731184</v>
      </c>
      <c r="P47" s="34">
        <f t="shared" si="5"/>
        <v>2.3588235294117648</v>
      </c>
      <c r="Q47" s="34">
        <f t="shared" si="6"/>
        <v>1.1068807339449542</v>
      </c>
      <c r="R47" s="16"/>
      <c r="S47" s="16"/>
      <c r="T47" s="16"/>
      <c r="U47" s="16"/>
      <c r="V47" s="16"/>
      <c r="W47" s="16"/>
      <c r="X47" s="16"/>
      <c r="Y47" s="16"/>
      <c r="Z47" s="16"/>
      <c r="AA47" s="16"/>
      <c r="AB47" s="16"/>
      <c r="AC47" s="16"/>
      <c r="AD47" s="16"/>
      <c r="AE47" s="16"/>
      <c r="AF47" s="16"/>
      <c r="AG47" s="16"/>
      <c r="AH47" s="16"/>
      <c r="AI47" s="16"/>
      <c r="AJ47" s="16"/>
      <c r="AK47" s="16"/>
      <c r="AL47" s="16"/>
      <c r="AM47" s="16"/>
      <c r="AN47" s="16"/>
      <c r="AO47" s="16"/>
      <c r="AP47" s="16"/>
      <c r="AQ47" s="16"/>
      <c r="AR47" s="16"/>
      <c r="AS47" s="16"/>
    </row>
    <row r="48" spans="1:45" x14ac:dyDescent="0.3">
      <c r="B48" s="42">
        <v>41365</v>
      </c>
      <c r="C48" s="37">
        <f t="shared" si="3"/>
        <v>39.280480657654977</v>
      </c>
      <c r="D48" s="37">
        <f t="shared" si="4"/>
        <v>34.188965583273855</v>
      </c>
      <c r="E48" s="35"/>
      <c r="F48" s="38">
        <v>3500</v>
      </c>
      <c r="G48" s="38">
        <v>2800</v>
      </c>
      <c r="H48" s="37">
        <f t="shared" si="0"/>
        <v>16.095299166378929</v>
      </c>
      <c r="I48" s="37">
        <f t="shared" si="1"/>
        <v>1.0769725360521722</v>
      </c>
      <c r="J48" s="37">
        <f t="shared" si="2"/>
        <v>22.10820895522388</v>
      </c>
      <c r="K48" s="35"/>
      <c r="L48" s="38">
        <v>3100</v>
      </c>
      <c r="M48" s="38">
        <v>843</v>
      </c>
      <c r="N48" s="38">
        <v>3200</v>
      </c>
      <c r="O48" s="37">
        <v>29.870967741935484</v>
      </c>
      <c r="P48" s="37">
        <f t="shared" si="5"/>
        <v>2.9588235294117649</v>
      </c>
      <c r="Q48" s="37">
        <f t="shared" si="6"/>
        <v>1.3591743119266055</v>
      </c>
      <c r="R48" s="16"/>
      <c r="S48" s="16"/>
      <c r="T48" s="16"/>
      <c r="U48" s="16"/>
      <c r="V48" s="16"/>
      <c r="W48" s="16"/>
      <c r="X48" s="16"/>
      <c r="Y48" s="16"/>
      <c r="Z48" s="16"/>
      <c r="AA48" s="16"/>
      <c r="AB48" s="16"/>
      <c r="AC48" s="16"/>
      <c r="AD48" s="16"/>
      <c r="AE48" s="16"/>
      <c r="AF48" s="16"/>
      <c r="AG48" s="16"/>
      <c r="AH48" s="16"/>
      <c r="AI48" s="16"/>
      <c r="AJ48" s="16"/>
      <c r="AK48" s="16"/>
      <c r="AL48" s="16"/>
      <c r="AM48" s="16"/>
      <c r="AN48" s="16"/>
      <c r="AO48" s="16"/>
      <c r="AP48" s="16"/>
      <c r="AQ48" s="16"/>
      <c r="AR48" s="16"/>
      <c r="AS48" s="16"/>
    </row>
    <row r="49" spans="2:45" x14ac:dyDescent="0.3">
      <c r="B49" s="41">
        <v>41395</v>
      </c>
      <c r="C49" s="34">
        <f t="shared" si="3"/>
        <v>39.033847204293366</v>
      </c>
      <c r="D49" s="34">
        <f t="shared" si="4"/>
        <v>35.258945679485173</v>
      </c>
      <c r="E49" s="35"/>
      <c r="F49" s="36">
        <v>3450</v>
      </c>
      <c r="G49" s="36">
        <v>2800</v>
      </c>
      <c r="H49" s="34">
        <f t="shared" si="0"/>
        <v>15.848665713017313</v>
      </c>
      <c r="I49" s="34">
        <f t="shared" si="1"/>
        <v>1.0769725360521722</v>
      </c>
      <c r="J49" s="34">
        <f t="shared" si="2"/>
        <v>22.10820895522388</v>
      </c>
      <c r="K49" s="35"/>
      <c r="L49" s="36">
        <v>3200</v>
      </c>
      <c r="M49" s="36">
        <v>846</v>
      </c>
      <c r="N49" s="36">
        <v>3150</v>
      </c>
      <c r="O49" s="34">
        <v>30.946236559139784</v>
      </c>
      <c r="P49" s="34">
        <f t="shared" si="5"/>
        <v>2.9764705882352942</v>
      </c>
      <c r="Q49" s="34">
        <f t="shared" si="6"/>
        <v>1.3362385321100918</v>
      </c>
      <c r="R49" s="16"/>
      <c r="S49" s="16"/>
      <c r="T49" s="16"/>
      <c r="U49" s="16"/>
      <c r="V49" s="16"/>
      <c r="W49" s="16"/>
      <c r="X49" s="16"/>
      <c r="Y49" s="16"/>
      <c r="Z49" s="16"/>
      <c r="AA49" s="16"/>
      <c r="AB49" s="16"/>
      <c r="AC49" s="16"/>
      <c r="AD49" s="16"/>
      <c r="AE49" s="16"/>
      <c r="AF49" s="16"/>
      <c r="AG49" s="16"/>
      <c r="AH49" s="16"/>
      <c r="AI49" s="16"/>
      <c r="AJ49" s="16"/>
      <c r="AK49" s="16"/>
      <c r="AL49" s="16"/>
      <c r="AM49" s="16"/>
      <c r="AN49" s="16"/>
      <c r="AO49" s="16"/>
      <c r="AP49" s="16"/>
      <c r="AQ49" s="16"/>
      <c r="AR49" s="16"/>
      <c r="AS49" s="16"/>
    </row>
    <row r="50" spans="2:45" x14ac:dyDescent="0.3">
      <c r="B50" s="42">
        <v>41426</v>
      </c>
      <c r="C50" s="37">
        <f t="shared" si="3"/>
        <v>39.280480657654977</v>
      </c>
      <c r="D50" s="37">
        <f t="shared" si="4"/>
        <v>35.772457044374427</v>
      </c>
      <c r="E50" s="35"/>
      <c r="F50" s="38">
        <v>3500</v>
      </c>
      <c r="G50" s="38">
        <v>2800</v>
      </c>
      <c r="H50" s="37">
        <f t="shared" si="0"/>
        <v>16.095299166378929</v>
      </c>
      <c r="I50" s="37">
        <f t="shared" si="1"/>
        <v>1.0769725360521722</v>
      </c>
      <c r="J50" s="37">
        <f t="shared" si="2"/>
        <v>22.10820895522388</v>
      </c>
      <c r="K50" s="35"/>
      <c r="L50" s="38">
        <v>3250</v>
      </c>
      <c r="M50" s="38">
        <v>838</v>
      </c>
      <c r="N50" s="38">
        <v>3200</v>
      </c>
      <c r="O50" s="37">
        <v>31.483870967741936</v>
      </c>
      <c r="P50" s="37">
        <f t="shared" si="5"/>
        <v>2.9294117647058822</v>
      </c>
      <c r="Q50" s="37">
        <f t="shared" si="6"/>
        <v>1.3591743119266055</v>
      </c>
      <c r="R50" s="16"/>
      <c r="S50" s="16"/>
      <c r="T50" s="16"/>
      <c r="U50" s="16"/>
      <c r="V50" s="16"/>
      <c r="W50" s="16"/>
      <c r="X50" s="16"/>
      <c r="Y50" s="16"/>
      <c r="Z50" s="16"/>
      <c r="AA50" s="16"/>
      <c r="AB50" s="16"/>
      <c r="AC50" s="16"/>
      <c r="AD50" s="16"/>
      <c r="AE50" s="16"/>
      <c r="AF50" s="16"/>
      <c r="AG50" s="16"/>
      <c r="AH50" s="16"/>
      <c r="AI50" s="16"/>
      <c r="AJ50" s="16"/>
      <c r="AK50" s="16"/>
      <c r="AL50" s="16"/>
      <c r="AM50" s="16"/>
      <c r="AN50" s="16"/>
      <c r="AO50" s="16"/>
      <c r="AP50" s="16"/>
      <c r="AQ50" s="16"/>
      <c r="AR50" s="16"/>
      <c r="AS50" s="16"/>
    </row>
    <row r="51" spans="2:45" x14ac:dyDescent="0.3">
      <c r="B51" s="41">
        <v>41456</v>
      </c>
      <c r="C51" s="34">
        <f t="shared" si="3"/>
        <v>39.773747564378205</v>
      </c>
      <c r="D51" s="34">
        <f t="shared" si="4"/>
        <v>36.607133158087152</v>
      </c>
      <c r="E51" s="35"/>
      <c r="F51" s="36">
        <v>3600</v>
      </c>
      <c r="G51" s="36">
        <v>2800</v>
      </c>
      <c r="H51" s="34">
        <f t="shared" si="0"/>
        <v>16.588566073102154</v>
      </c>
      <c r="I51" s="34">
        <f t="shared" si="1"/>
        <v>1.0769725360521722</v>
      </c>
      <c r="J51" s="34">
        <f t="shared" si="2"/>
        <v>22.10820895522388</v>
      </c>
      <c r="K51" s="35"/>
      <c r="L51" s="36">
        <v>3325</v>
      </c>
      <c r="M51" s="36">
        <v>835</v>
      </c>
      <c r="N51" s="36">
        <v>3300</v>
      </c>
      <c r="O51" s="34">
        <v>32.29032258064516</v>
      </c>
      <c r="P51" s="34">
        <f t="shared" si="5"/>
        <v>2.9117647058823528</v>
      </c>
      <c r="Q51" s="34">
        <f t="shared" si="6"/>
        <v>1.405045871559633</v>
      </c>
      <c r="R51" s="16"/>
      <c r="S51" s="16"/>
      <c r="T51" s="16"/>
      <c r="U51" s="16"/>
      <c r="V51" s="16"/>
      <c r="W51" s="16"/>
      <c r="X51" s="16"/>
      <c r="Y51" s="16"/>
      <c r="Z51" s="16"/>
      <c r="AA51" s="16"/>
      <c r="AB51" s="16"/>
      <c r="AC51" s="16"/>
      <c r="AD51" s="16"/>
      <c r="AE51" s="16"/>
      <c r="AF51" s="16"/>
      <c r="AG51" s="16"/>
      <c r="AH51" s="16"/>
      <c r="AI51" s="16"/>
      <c r="AJ51" s="16"/>
      <c r="AK51" s="16"/>
      <c r="AL51" s="16"/>
      <c r="AM51" s="16"/>
      <c r="AN51" s="16"/>
      <c r="AO51" s="16"/>
      <c r="AP51" s="16"/>
      <c r="AQ51" s="16"/>
      <c r="AR51" s="16"/>
      <c r="AS51" s="16"/>
    </row>
    <row r="52" spans="2:45" x14ac:dyDescent="0.3">
      <c r="B52" s="42">
        <v>41487</v>
      </c>
      <c r="C52" s="37">
        <f t="shared" si="3"/>
        <v>40.020381017739822</v>
      </c>
      <c r="D52" s="37">
        <f t="shared" si="4"/>
        <v>37.695344080218646</v>
      </c>
      <c r="E52" s="35"/>
      <c r="F52" s="38">
        <v>3650</v>
      </c>
      <c r="G52" s="38">
        <v>2800</v>
      </c>
      <c r="H52" s="37">
        <f t="shared" si="0"/>
        <v>16.835199526463768</v>
      </c>
      <c r="I52" s="37">
        <f t="shared" si="1"/>
        <v>1.0769725360521722</v>
      </c>
      <c r="J52" s="37">
        <f t="shared" si="2"/>
        <v>22.10820895522388</v>
      </c>
      <c r="K52" s="35"/>
      <c r="L52" s="38">
        <v>3400</v>
      </c>
      <c r="M52" s="38">
        <v>879</v>
      </c>
      <c r="N52" s="38">
        <v>3350</v>
      </c>
      <c r="O52" s="37">
        <v>33.096774193548384</v>
      </c>
      <c r="P52" s="37">
        <f t="shared" si="5"/>
        <v>3.1705882352941175</v>
      </c>
      <c r="Q52" s="37">
        <f t="shared" si="6"/>
        <v>1.4279816513761467</v>
      </c>
      <c r="R52" s="16"/>
      <c r="S52" s="16"/>
      <c r="T52" s="16"/>
      <c r="U52" s="16"/>
      <c r="V52" s="16"/>
      <c r="W52" s="16"/>
      <c r="X52" s="16"/>
      <c r="Y52" s="16"/>
      <c r="Z52" s="16"/>
      <c r="AA52" s="16"/>
      <c r="AB52" s="16"/>
      <c r="AC52" s="16"/>
      <c r="AD52" s="16"/>
      <c r="AE52" s="16"/>
      <c r="AF52" s="16"/>
      <c r="AG52" s="16"/>
      <c r="AH52" s="16"/>
      <c r="AI52" s="16"/>
      <c r="AJ52" s="16"/>
      <c r="AK52" s="16"/>
      <c r="AL52" s="16"/>
      <c r="AM52" s="16"/>
      <c r="AN52" s="16"/>
      <c r="AO52" s="16"/>
      <c r="AP52" s="16"/>
      <c r="AQ52" s="16"/>
      <c r="AR52" s="16"/>
      <c r="AS52" s="16"/>
    </row>
    <row r="53" spans="2:45" x14ac:dyDescent="0.3">
      <c r="B53" s="41">
        <v>41518</v>
      </c>
      <c r="C53" s="34">
        <f t="shared" si="3"/>
        <v>39.89706429105901</v>
      </c>
      <c r="D53" s="34">
        <f t="shared" si="4"/>
        <v>37.886216481265485</v>
      </c>
      <c r="E53" s="35"/>
      <c r="F53" s="36">
        <v>3625</v>
      </c>
      <c r="G53" s="36">
        <v>2800</v>
      </c>
      <c r="H53" s="34">
        <f t="shared" si="0"/>
        <v>16.711882799782963</v>
      </c>
      <c r="I53" s="34">
        <f t="shared" si="1"/>
        <v>1.0769725360521722</v>
      </c>
      <c r="J53" s="34">
        <f t="shared" si="2"/>
        <v>22.10820895522388</v>
      </c>
      <c r="K53" s="35"/>
      <c r="L53" s="36">
        <v>3450</v>
      </c>
      <c r="M53" s="36">
        <v>822</v>
      </c>
      <c r="N53" s="36">
        <v>3325</v>
      </c>
      <c r="O53" s="34">
        <v>33.634408602150536</v>
      </c>
      <c r="P53" s="34">
        <f t="shared" si="5"/>
        <v>2.835294117647059</v>
      </c>
      <c r="Q53" s="34">
        <f t="shared" si="6"/>
        <v>1.41651376146789</v>
      </c>
      <c r="R53" s="16"/>
      <c r="S53" s="16"/>
      <c r="T53" s="16"/>
      <c r="U53" s="16"/>
      <c r="V53" s="16"/>
      <c r="W53" s="16"/>
      <c r="X53" s="16"/>
      <c r="Y53" s="16"/>
      <c r="Z53" s="16"/>
      <c r="AA53" s="16"/>
      <c r="AB53" s="16"/>
      <c r="AC53" s="16"/>
      <c r="AD53" s="16"/>
      <c r="AE53" s="16"/>
      <c r="AF53" s="16"/>
      <c r="AG53" s="16"/>
      <c r="AH53" s="16"/>
      <c r="AI53" s="16"/>
      <c r="AJ53" s="16"/>
      <c r="AK53" s="16"/>
      <c r="AL53" s="16"/>
      <c r="AM53" s="16"/>
      <c r="AN53" s="16"/>
      <c r="AO53" s="16"/>
      <c r="AP53" s="16"/>
      <c r="AQ53" s="16"/>
      <c r="AR53" s="16"/>
      <c r="AS53" s="16"/>
    </row>
    <row r="54" spans="2:45" x14ac:dyDescent="0.3">
      <c r="B54" s="42">
        <v>41548</v>
      </c>
      <c r="C54" s="37">
        <f t="shared" si="3"/>
        <v>38.550294870558794</v>
      </c>
      <c r="D54" s="37">
        <f t="shared" si="4"/>
        <v>37.615925061945468</v>
      </c>
      <c r="E54" s="35"/>
      <c r="F54" s="38">
        <v>3600</v>
      </c>
      <c r="G54" s="38">
        <v>2675</v>
      </c>
      <c r="H54" s="37">
        <f t="shared" si="0"/>
        <v>16.588566073102154</v>
      </c>
      <c r="I54" s="37">
        <f t="shared" si="1"/>
        <v>1.0195646183521632</v>
      </c>
      <c r="J54" s="37">
        <f t="shared" si="2"/>
        <v>20.942164179104477</v>
      </c>
      <c r="K54" s="35"/>
      <c r="L54" s="38">
        <v>3450</v>
      </c>
      <c r="M54" s="38">
        <v>778</v>
      </c>
      <c r="N54" s="38">
        <v>3300</v>
      </c>
      <c r="O54" s="37">
        <v>33.634408602150536</v>
      </c>
      <c r="P54" s="37">
        <f t="shared" si="5"/>
        <v>2.5764705882352943</v>
      </c>
      <c r="Q54" s="37">
        <f t="shared" si="6"/>
        <v>1.405045871559633</v>
      </c>
      <c r="R54" s="16"/>
      <c r="S54" s="16"/>
      <c r="T54" s="16"/>
      <c r="U54" s="16"/>
      <c r="V54" s="16"/>
      <c r="W54" s="16"/>
      <c r="X54" s="16"/>
      <c r="Y54" s="16"/>
      <c r="Z54" s="16"/>
      <c r="AA54" s="16"/>
      <c r="AB54" s="16"/>
      <c r="AC54" s="16"/>
      <c r="AD54" s="16"/>
      <c r="AE54" s="16"/>
      <c r="AF54" s="16"/>
      <c r="AG54" s="16"/>
      <c r="AH54" s="16"/>
      <c r="AI54" s="16"/>
      <c r="AJ54" s="16"/>
      <c r="AK54" s="16"/>
      <c r="AL54" s="16"/>
      <c r="AM54" s="16"/>
      <c r="AN54" s="16"/>
      <c r="AO54" s="16"/>
      <c r="AP54" s="16"/>
      <c r="AQ54" s="16"/>
      <c r="AR54" s="16"/>
      <c r="AS54" s="16"/>
    </row>
    <row r="55" spans="2:45" x14ac:dyDescent="0.3">
      <c r="B55" s="41">
        <v>41579</v>
      </c>
      <c r="C55" s="34">
        <f t="shared" si="3"/>
        <v>37.812337425071689</v>
      </c>
      <c r="D55" s="34">
        <f t="shared" si="4"/>
        <v>37.593582914077146</v>
      </c>
      <c r="E55" s="35"/>
      <c r="F55" s="36">
        <v>3500</v>
      </c>
      <c r="G55" s="36">
        <v>2650</v>
      </c>
      <c r="H55" s="34">
        <f t="shared" si="0"/>
        <v>16.095299166378929</v>
      </c>
      <c r="I55" s="34">
        <f t="shared" si="1"/>
        <v>1.0080830348121612</v>
      </c>
      <c r="J55" s="34">
        <f t="shared" si="2"/>
        <v>20.708955223880597</v>
      </c>
      <c r="K55" s="35"/>
      <c r="L55" s="36">
        <v>3450</v>
      </c>
      <c r="M55" s="36">
        <v>782</v>
      </c>
      <c r="N55" s="36">
        <v>3200</v>
      </c>
      <c r="O55" s="34">
        <v>33.634408602150536</v>
      </c>
      <c r="P55" s="34">
        <f t="shared" si="5"/>
        <v>2.6</v>
      </c>
      <c r="Q55" s="34">
        <f t="shared" si="6"/>
        <v>1.3591743119266055</v>
      </c>
      <c r="R55" s="16"/>
      <c r="S55" s="16"/>
      <c r="T55" s="16"/>
      <c r="U55" s="16"/>
      <c r="V55" s="16"/>
      <c r="W55" s="16"/>
      <c r="X55" s="16"/>
      <c r="Y55" s="16"/>
      <c r="Z55" s="16"/>
      <c r="AA55" s="16"/>
      <c r="AB55" s="16"/>
      <c r="AC55" s="16"/>
      <c r="AD55" s="16"/>
      <c r="AE55" s="16"/>
      <c r="AF55" s="16"/>
      <c r="AG55" s="16"/>
      <c r="AH55" s="16"/>
      <c r="AI55" s="16"/>
      <c r="AJ55" s="16"/>
      <c r="AK55" s="16"/>
      <c r="AL55" s="16"/>
      <c r="AM55" s="16"/>
      <c r="AN55" s="16"/>
      <c r="AO55" s="16"/>
      <c r="AP55" s="16"/>
      <c r="AQ55" s="16"/>
      <c r="AR55" s="16"/>
      <c r="AS55" s="16"/>
    </row>
    <row r="56" spans="2:45" x14ac:dyDescent="0.3">
      <c r="B56" s="42">
        <v>41609</v>
      </c>
      <c r="C56" s="37">
        <f t="shared" si="3"/>
        <v>38.912473392210288</v>
      </c>
      <c r="D56" s="37">
        <f t="shared" si="4"/>
        <v>37.876689629500717</v>
      </c>
      <c r="E56" s="35"/>
      <c r="F56" s="38">
        <v>3475</v>
      </c>
      <c r="G56" s="38">
        <v>2775</v>
      </c>
      <c r="H56" s="37">
        <f t="shared" si="0"/>
        <v>15.97198243969812</v>
      </c>
      <c r="I56" s="37">
        <f t="shared" si="1"/>
        <v>1.0654909525121705</v>
      </c>
      <c r="J56" s="37">
        <f t="shared" si="2"/>
        <v>21.875</v>
      </c>
      <c r="K56" s="35"/>
      <c r="L56" s="38">
        <v>3450</v>
      </c>
      <c r="M56" s="38">
        <v>832.07768290641206</v>
      </c>
      <c r="N56" s="38">
        <v>3175</v>
      </c>
      <c r="O56" s="37">
        <v>33.634408602150536</v>
      </c>
      <c r="P56" s="37">
        <f t="shared" si="5"/>
        <v>2.8945746053318357</v>
      </c>
      <c r="Q56" s="37">
        <f t="shared" si="6"/>
        <v>1.3477064220183486</v>
      </c>
      <c r="R56" s="16"/>
      <c r="S56" s="16"/>
      <c r="T56" s="16"/>
      <c r="U56" s="16"/>
      <c r="V56" s="16"/>
      <c r="W56" s="16"/>
      <c r="X56" s="16"/>
      <c r="Y56" s="16"/>
      <c r="Z56" s="16"/>
      <c r="AA56" s="16"/>
      <c r="AB56" s="16"/>
      <c r="AC56" s="16"/>
      <c r="AD56" s="16"/>
      <c r="AE56" s="16"/>
      <c r="AF56" s="16"/>
      <c r="AG56" s="16"/>
      <c r="AH56" s="16"/>
      <c r="AI56" s="16"/>
      <c r="AJ56" s="16"/>
      <c r="AK56" s="16"/>
      <c r="AL56" s="16"/>
      <c r="AM56" s="16"/>
      <c r="AN56" s="16"/>
      <c r="AO56" s="16"/>
      <c r="AP56" s="16"/>
      <c r="AQ56" s="16"/>
      <c r="AR56" s="16"/>
      <c r="AS56" s="16"/>
    </row>
    <row r="57" spans="2:45" x14ac:dyDescent="0.3">
      <c r="B57" s="41">
        <v>41640</v>
      </c>
      <c r="C57" s="34">
        <f t="shared" si="3"/>
        <v>38.049256305444644</v>
      </c>
      <c r="D57" s="34">
        <f t="shared" si="4"/>
        <v>37.755073334747941</v>
      </c>
      <c r="E57" s="35"/>
      <c r="F57" s="36">
        <v>3300</v>
      </c>
      <c r="G57" s="36">
        <v>2775</v>
      </c>
      <c r="H57" s="34">
        <f t="shared" si="0"/>
        <v>15.108765352932473</v>
      </c>
      <c r="I57" s="34">
        <f t="shared" si="1"/>
        <v>1.0654909525121705</v>
      </c>
      <c r="J57" s="34">
        <f t="shared" si="2"/>
        <v>21.875</v>
      </c>
      <c r="K57" s="35"/>
      <c r="L57" s="36">
        <v>3450</v>
      </c>
      <c r="M57" s="36">
        <v>825.04970178926442</v>
      </c>
      <c r="N57" s="36">
        <v>3000</v>
      </c>
      <c r="O57" s="34">
        <v>33.634408602150536</v>
      </c>
      <c r="P57" s="34">
        <f t="shared" si="5"/>
        <v>2.8532335399368498</v>
      </c>
      <c r="Q57" s="34">
        <f t="shared" si="6"/>
        <v>1.2674311926605504</v>
      </c>
      <c r="R57" s="16"/>
      <c r="S57" s="16"/>
      <c r="T57" s="16"/>
      <c r="U57" s="16"/>
      <c r="V57" s="16"/>
      <c r="W57" s="16"/>
      <c r="X57" s="16"/>
      <c r="Y57" s="16"/>
      <c r="Z57" s="16"/>
      <c r="AA57" s="16"/>
      <c r="AB57" s="16"/>
      <c r="AC57" s="16"/>
      <c r="AD57" s="16"/>
      <c r="AE57" s="16"/>
      <c r="AF57" s="16"/>
      <c r="AG57" s="16"/>
      <c r="AH57" s="16"/>
      <c r="AI57" s="16"/>
      <c r="AJ57" s="16"/>
      <c r="AK57" s="16"/>
      <c r="AL57" s="16"/>
      <c r="AM57" s="16"/>
      <c r="AN57" s="16"/>
      <c r="AO57" s="16"/>
      <c r="AP57" s="16"/>
      <c r="AQ57" s="16"/>
      <c r="AR57" s="16"/>
      <c r="AS57" s="16"/>
    </row>
    <row r="58" spans="2:45" x14ac:dyDescent="0.3">
      <c r="B58" s="42">
        <v>41671</v>
      </c>
      <c r="C58" s="37">
        <f t="shared" si="3"/>
        <v>35.708181413107042</v>
      </c>
      <c r="D58" s="37">
        <f t="shared" si="4"/>
        <v>37.084961148390377</v>
      </c>
      <c r="E58" s="35"/>
      <c r="F58" s="38">
        <v>2875</v>
      </c>
      <c r="G58" s="38">
        <v>2750</v>
      </c>
      <c r="H58" s="37">
        <f t="shared" si="0"/>
        <v>13.012380999358752</v>
      </c>
      <c r="I58" s="37">
        <f t="shared" si="1"/>
        <v>1.0540093689721686</v>
      </c>
      <c r="J58" s="37">
        <f t="shared" si="2"/>
        <v>21.64179104477612</v>
      </c>
      <c r="K58" s="35"/>
      <c r="L58" s="38">
        <v>3400</v>
      </c>
      <c r="M58" s="38">
        <v>835.67068140570871</v>
      </c>
      <c r="N58" s="38">
        <v>2575</v>
      </c>
      <c r="O58" s="37">
        <v>33.096774193548384</v>
      </c>
      <c r="P58" s="37">
        <f t="shared" si="5"/>
        <v>2.9157098906218155</v>
      </c>
      <c r="Q58" s="37">
        <f t="shared" si="6"/>
        <v>1.0724770642201835</v>
      </c>
      <c r="R58" s="16"/>
      <c r="S58" s="16"/>
      <c r="T58" s="16"/>
      <c r="U58" s="16"/>
      <c r="V58" s="16"/>
      <c r="W58" s="16"/>
      <c r="X58" s="16"/>
      <c r="Y58" s="16"/>
      <c r="Z58" s="16"/>
      <c r="AA58" s="16"/>
      <c r="AB58" s="16"/>
      <c r="AC58" s="16"/>
      <c r="AD58" s="16"/>
      <c r="AE58" s="16"/>
      <c r="AF58" s="16"/>
      <c r="AG58" s="16"/>
      <c r="AH58" s="16"/>
      <c r="AI58" s="16"/>
      <c r="AJ58" s="16"/>
      <c r="AK58" s="16"/>
      <c r="AL58" s="16"/>
      <c r="AM58" s="16"/>
      <c r="AN58" s="16"/>
      <c r="AO58" s="16"/>
      <c r="AP58" s="16"/>
      <c r="AQ58" s="16"/>
      <c r="AR58" s="16"/>
      <c r="AS58" s="16"/>
    </row>
    <row r="59" spans="2:45" x14ac:dyDescent="0.3">
      <c r="B59" s="41">
        <v>41699</v>
      </c>
      <c r="C59" s="34">
        <f t="shared" si="3"/>
        <v>35.586807601023963</v>
      </c>
      <c r="D59" s="34">
        <f t="shared" si="4"/>
        <v>35.693167183240078</v>
      </c>
      <c r="E59" s="35"/>
      <c r="F59" s="36">
        <v>2900</v>
      </c>
      <c r="G59" s="36">
        <v>2725</v>
      </c>
      <c r="H59" s="34">
        <f t="shared" si="0"/>
        <v>13.13569772603956</v>
      </c>
      <c r="I59" s="34">
        <f t="shared" si="1"/>
        <v>1.0425277854321668</v>
      </c>
      <c r="J59" s="34">
        <f t="shared" si="2"/>
        <v>21.40858208955224</v>
      </c>
      <c r="K59" s="35"/>
      <c r="L59" s="36">
        <v>3300</v>
      </c>
      <c r="M59" s="36">
        <v>779.91186497048307</v>
      </c>
      <c r="N59" s="36">
        <v>2600</v>
      </c>
      <c r="O59" s="34">
        <v>32.021505376344088</v>
      </c>
      <c r="P59" s="34">
        <f t="shared" si="5"/>
        <v>2.5877168527675476</v>
      </c>
      <c r="Q59" s="34">
        <f t="shared" si="6"/>
        <v>1.0839449541284403</v>
      </c>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row>
    <row r="60" spans="2:45" x14ac:dyDescent="0.3">
      <c r="B60" s="42">
        <v>41730</v>
      </c>
      <c r="C60" s="37">
        <f t="shared" si="3"/>
        <v>33.137959298787408</v>
      </c>
      <c r="D60" s="37">
        <f t="shared" si="4"/>
        <v>33.350782576203322</v>
      </c>
      <c r="E60" s="35"/>
      <c r="F60" s="38">
        <v>2850</v>
      </c>
      <c r="G60" s="38">
        <v>2500</v>
      </c>
      <c r="H60" s="37">
        <f t="shared" si="0"/>
        <v>12.889064272677945</v>
      </c>
      <c r="I60" s="37">
        <f t="shared" si="1"/>
        <v>0.9391935335721503</v>
      </c>
      <c r="J60" s="37">
        <f t="shared" si="2"/>
        <v>19.309701492537314</v>
      </c>
      <c r="K60" s="35"/>
      <c r="L60" s="38">
        <v>3100</v>
      </c>
      <c r="M60" s="38">
        <v>751.19696219250454</v>
      </c>
      <c r="N60" s="38">
        <v>2550</v>
      </c>
      <c r="O60" s="37">
        <v>29.870967741935484</v>
      </c>
      <c r="P60" s="37">
        <f t="shared" si="5"/>
        <v>2.4188056599559093</v>
      </c>
      <c r="Q60" s="37">
        <f t="shared" si="6"/>
        <v>1.0610091743119265</v>
      </c>
      <c r="R60" s="16"/>
      <c r="S60" s="16"/>
      <c r="T60" s="16"/>
      <c r="U60" s="16"/>
      <c r="V60" s="16"/>
      <c r="W60" s="16"/>
      <c r="X60" s="16"/>
      <c r="Y60" s="16"/>
      <c r="Z60" s="16"/>
      <c r="AA60" s="16"/>
      <c r="AB60" s="16"/>
      <c r="AC60" s="16"/>
      <c r="AD60" s="16"/>
      <c r="AE60" s="16"/>
      <c r="AF60" s="16"/>
      <c r="AG60" s="16"/>
      <c r="AH60" s="16"/>
      <c r="AI60" s="16"/>
      <c r="AJ60" s="16"/>
      <c r="AK60" s="16"/>
      <c r="AL60" s="16"/>
      <c r="AM60" s="16"/>
      <c r="AN60" s="16"/>
      <c r="AO60" s="16"/>
      <c r="AP60" s="16"/>
      <c r="AQ60" s="16"/>
      <c r="AR60" s="16"/>
      <c r="AS60" s="16"/>
    </row>
    <row r="61" spans="2:45" x14ac:dyDescent="0.3">
      <c r="B61" s="41">
        <v>41760</v>
      </c>
      <c r="C61" s="34">
        <f t="shared" si="3"/>
        <v>31.29986588616169</v>
      </c>
      <c r="D61" s="34">
        <f t="shared" si="4"/>
        <v>32.125176692600334</v>
      </c>
      <c r="E61" s="35"/>
      <c r="F61" s="36">
        <v>2775</v>
      </c>
      <c r="G61" s="36">
        <v>2350</v>
      </c>
      <c r="H61" s="34">
        <f t="shared" si="0"/>
        <v>12.519114092635524</v>
      </c>
      <c r="I61" s="34">
        <f t="shared" si="1"/>
        <v>0.87030403233213927</v>
      </c>
      <c r="J61" s="34">
        <f t="shared" si="2"/>
        <v>17.910447761194028</v>
      </c>
      <c r="K61" s="35"/>
      <c r="L61" s="36">
        <v>3000</v>
      </c>
      <c r="M61" s="36">
        <v>731.48828475793937</v>
      </c>
      <c r="N61" s="36">
        <v>2475</v>
      </c>
      <c r="O61" s="34">
        <v>28.795698924731184</v>
      </c>
      <c r="P61" s="34">
        <f t="shared" si="5"/>
        <v>2.3028722632819965</v>
      </c>
      <c r="Q61" s="34">
        <f t="shared" si="6"/>
        <v>1.026605504587156</v>
      </c>
      <c r="R61" s="16"/>
      <c r="S61" s="16"/>
      <c r="T61" s="16"/>
      <c r="U61" s="16"/>
      <c r="V61" s="16"/>
      <c r="W61" s="16"/>
      <c r="X61" s="16"/>
      <c r="Y61" s="16"/>
      <c r="Z61" s="16"/>
      <c r="AA61" s="16"/>
      <c r="AB61" s="16"/>
      <c r="AC61" s="16"/>
      <c r="AD61" s="16"/>
      <c r="AE61" s="16"/>
      <c r="AF61" s="16"/>
      <c r="AG61" s="16"/>
      <c r="AH61" s="16"/>
      <c r="AI61" s="16"/>
      <c r="AJ61" s="16"/>
      <c r="AK61" s="16"/>
      <c r="AL61" s="16"/>
      <c r="AM61" s="16"/>
      <c r="AN61" s="16"/>
      <c r="AO61" s="16"/>
      <c r="AP61" s="16"/>
      <c r="AQ61" s="16"/>
      <c r="AR61" s="16"/>
      <c r="AS61" s="16"/>
    </row>
    <row r="62" spans="2:45" x14ac:dyDescent="0.3">
      <c r="B62" s="42">
        <v>41791</v>
      </c>
      <c r="C62" s="37">
        <f t="shared" si="3"/>
        <v>32.282513870412686</v>
      </c>
      <c r="D62" s="37">
        <f t="shared" si="4"/>
        <v>32.763108872499046</v>
      </c>
      <c r="E62" s="35"/>
      <c r="F62" s="38">
        <v>2875</v>
      </c>
      <c r="G62" s="38">
        <v>2400</v>
      </c>
      <c r="H62" s="37">
        <f t="shared" si="0"/>
        <v>13.012380999358752</v>
      </c>
      <c r="I62" s="37">
        <f t="shared" si="1"/>
        <v>0.89326719941214294</v>
      </c>
      <c r="J62" s="37">
        <f t="shared" si="2"/>
        <v>18.376865671641792</v>
      </c>
      <c r="K62" s="35"/>
      <c r="L62" s="38">
        <v>3050</v>
      </c>
      <c r="M62" s="38">
        <v>740.74074074074076</v>
      </c>
      <c r="N62" s="38">
        <v>2575</v>
      </c>
      <c r="O62" s="37">
        <v>29.333333333333332</v>
      </c>
      <c r="P62" s="37">
        <f t="shared" si="5"/>
        <v>2.3572984749455337</v>
      </c>
      <c r="Q62" s="37">
        <f t="shared" si="6"/>
        <v>1.0724770642201835</v>
      </c>
      <c r="R62" s="16"/>
      <c r="S62" s="16"/>
      <c r="T62" s="16"/>
      <c r="U62" s="16"/>
      <c r="V62" s="16"/>
      <c r="W62" s="16"/>
      <c r="X62" s="16"/>
      <c r="Y62" s="16"/>
      <c r="Z62" s="16"/>
      <c r="AA62" s="16"/>
      <c r="AB62" s="16"/>
      <c r="AC62" s="16"/>
      <c r="AD62" s="16"/>
      <c r="AE62" s="16"/>
      <c r="AF62" s="16"/>
      <c r="AG62" s="16"/>
      <c r="AH62" s="16"/>
      <c r="AI62" s="16"/>
      <c r="AJ62" s="16"/>
      <c r="AK62" s="16"/>
      <c r="AL62" s="16"/>
      <c r="AM62" s="16"/>
      <c r="AN62" s="16"/>
      <c r="AO62" s="16"/>
      <c r="AP62" s="16"/>
      <c r="AQ62" s="16"/>
      <c r="AR62" s="16"/>
      <c r="AS62" s="16"/>
    </row>
    <row r="63" spans="2:45" x14ac:dyDescent="0.3">
      <c r="B63" s="41">
        <v>41821</v>
      </c>
      <c r="C63" s="34">
        <f t="shared" si="3"/>
        <v>30.93574444991247</v>
      </c>
      <c r="D63" s="34">
        <f t="shared" si="4"/>
        <v>32.712051181338509</v>
      </c>
      <c r="E63" s="35"/>
      <c r="F63" s="36">
        <v>2850</v>
      </c>
      <c r="G63" s="36">
        <v>2275</v>
      </c>
      <c r="H63" s="34">
        <f t="shared" si="0"/>
        <v>12.889064272677945</v>
      </c>
      <c r="I63" s="34">
        <f t="shared" si="1"/>
        <v>0.83585928171213375</v>
      </c>
      <c r="J63" s="34">
        <f t="shared" si="2"/>
        <v>17.210820895522389</v>
      </c>
      <c r="K63" s="35"/>
      <c r="L63" s="36">
        <v>3050</v>
      </c>
      <c r="M63" s="36">
        <v>734.01047452785269</v>
      </c>
      <c r="N63" s="36">
        <v>2550</v>
      </c>
      <c r="O63" s="34">
        <v>29.333333333333332</v>
      </c>
      <c r="P63" s="34">
        <f t="shared" si="5"/>
        <v>2.3177086736932511</v>
      </c>
      <c r="Q63" s="34">
        <f t="shared" si="6"/>
        <v>1.0610091743119265</v>
      </c>
      <c r="R63" s="16"/>
      <c r="S63" s="16"/>
      <c r="T63" s="16"/>
      <c r="U63" s="16"/>
      <c r="V63" s="16"/>
      <c r="W63" s="16"/>
      <c r="X63" s="16"/>
      <c r="Y63" s="16"/>
      <c r="Z63" s="16"/>
      <c r="AA63" s="16"/>
      <c r="AB63" s="16"/>
      <c r="AC63" s="16"/>
      <c r="AD63" s="16"/>
      <c r="AE63" s="16"/>
      <c r="AF63" s="16"/>
      <c r="AG63" s="16"/>
      <c r="AH63" s="16"/>
      <c r="AI63" s="16"/>
      <c r="AJ63" s="16"/>
      <c r="AK63" s="16"/>
      <c r="AL63" s="16"/>
      <c r="AM63" s="16"/>
      <c r="AN63" s="16"/>
      <c r="AO63" s="16"/>
      <c r="AP63" s="16"/>
      <c r="AQ63" s="16"/>
      <c r="AR63" s="16"/>
      <c r="AS63" s="16"/>
    </row>
    <row r="64" spans="2:45" x14ac:dyDescent="0.3">
      <c r="B64" s="42">
        <v>41852</v>
      </c>
      <c r="C64" s="37">
        <f t="shared" si="3"/>
        <v>27.257614710063308</v>
      </c>
      <c r="D64" s="37">
        <f t="shared" si="4"/>
        <v>31.195230495573497</v>
      </c>
      <c r="E64" s="35"/>
      <c r="F64" s="38">
        <v>2650</v>
      </c>
      <c r="G64" s="38">
        <v>2000</v>
      </c>
      <c r="H64" s="37">
        <f t="shared" si="0"/>
        <v>11.902530459231491</v>
      </c>
      <c r="I64" s="37">
        <f t="shared" si="1"/>
        <v>0.70956186277211353</v>
      </c>
      <c r="J64" s="37">
        <f t="shared" si="2"/>
        <v>14.645522388059701</v>
      </c>
      <c r="K64" s="35"/>
      <c r="L64" s="38">
        <v>2950</v>
      </c>
      <c r="M64" s="38">
        <v>674.54298714776087</v>
      </c>
      <c r="N64" s="38">
        <v>2350</v>
      </c>
      <c r="O64" s="37">
        <v>28.258064516129032</v>
      </c>
      <c r="P64" s="37">
        <f t="shared" si="5"/>
        <v>1.9678999243985933</v>
      </c>
      <c r="Q64" s="37">
        <f t="shared" si="6"/>
        <v>0.9692660550458716</v>
      </c>
      <c r="R64" s="16"/>
      <c r="S64" s="16"/>
      <c r="T64" s="16"/>
      <c r="U64" s="16"/>
      <c r="V64" s="16"/>
      <c r="W64" s="16"/>
      <c r="X64" s="16"/>
      <c r="Y64" s="16"/>
      <c r="Z64" s="16"/>
      <c r="AA64" s="16"/>
      <c r="AB64" s="16"/>
      <c r="AC64" s="16"/>
      <c r="AD64" s="16"/>
      <c r="AE64" s="16"/>
      <c r="AF64" s="16"/>
      <c r="AG64" s="16"/>
      <c r="AH64" s="16"/>
      <c r="AI64" s="16"/>
      <c r="AJ64" s="16"/>
      <c r="AK64" s="16"/>
      <c r="AL64" s="16"/>
      <c r="AM64" s="16"/>
      <c r="AN64" s="16"/>
      <c r="AO64" s="16"/>
      <c r="AP64" s="16"/>
      <c r="AQ64" s="16"/>
      <c r="AR64" s="16"/>
      <c r="AS64" s="16"/>
    </row>
    <row r="65" spans="2:45" x14ac:dyDescent="0.3">
      <c r="B65" s="41">
        <v>41883</v>
      </c>
      <c r="C65" s="34">
        <f t="shared" si="3"/>
        <v>23.454225328935603</v>
      </c>
      <c r="D65" s="34">
        <f t="shared" si="4"/>
        <v>28.867516736010771</v>
      </c>
      <c r="E65" s="35"/>
      <c r="F65" s="36">
        <v>2375</v>
      </c>
      <c r="G65" s="36">
        <v>1750</v>
      </c>
      <c r="H65" s="34">
        <f t="shared" si="0"/>
        <v>10.546046465742613</v>
      </c>
      <c r="I65" s="34">
        <f t="shared" si="1"/>
        <v>0.59474602737209514</v>
      </c>
      <c r="J65" s="34">
        <f t="shared" si="2"/>
        <v>12.313432835820896</v>
      </c>
      <c r="K65" s="35"/>
      <c r="L65" s="36">
        <v>2750</v>
      </c>
      <c r="M65" s="36">
        <v>665.86799999999994</v>
      </c>
      <c r="N65" s="36">
        <v>2075</v>
      </c>
      <c r="O65" s="34">
        <v>26.107526881720432</v>
      </c>
      <c r="P65" s="34">
        <f t="shared" si="5"/>
        <v>1.9168705882352939</v>
      </c>
      <c r="Q65" s="34">
        <f t="shared" si="6"/>
        <v>0.84311926605504584</v>
      </c>
      <c r="R65" s="16"/>
      <c r="S65" s="16"/>
      <c r="T65" s="16"/>
      <c r="U65" s="16"/>
      <c r="V65" s="16"/>
      <c r="W65" s="16"/>
      <c r="X65" s="16"/>
      <c r="Y65" s="16"/>
      <c r="Z65" s="16"/>
      <c r="AA65" s="16"/>
      <c r="AB65" s="16"/>
      <c r="AC65" s="16"/>
      <c r="AD65" s="16"/>
      <c r="AE65" s="16"/>
      <c r="AF65" s="16"/>
      <c r="AG65" s="16"/>
      <c r="AH65" s="16"/>
      <c r="AI65" s="16"/>
      <c r="AJ65" s="16"/>
      <c r="AK65" s="16"/>
      <c r="AL65" s="16"/>
      <c r="AM65" s="16"/>
      <c r="AN65" s="16"/>
      <c r="AO65" s="16"/>
      <c r="AP65" s="16"/>
      <c r="AQ65" s="16"/>
      <c r="AR65" s="16"/>
      <c r="AS65" s="16"/>
    </row>
    <row r="66" spans="2:45" x14ac:dyDescent="0.3">
      <c r="B66" s="42">
        <v>41913</v>
      </c>
      <c r="C66" s="37">
        <f t="shared" si="3"/>
        <v>21.37338429214374</v>
      </c>
      <c r="D66" s="37">
        <f t="shared" si="4"/>
        <v>26.283712097209406</v>
      </c>
      <c r="E66" s="35"/>
      <c r="F66" s="38">
        <v>2350</v>
      </c>
      <c r="G66" s="38">
        <v>1550</v>
      </c>
      <c r="H66" s="37">
        <f t="shared" si="0"/>
        <v>10.422729739061806</v>
      </c>
      <c r="I66" s="37">
        <f t="shared" si="1"/>
        <v>0.50289335905208044</v>
      </c>
      <c r="J66" s="37">
        <f t="shared" si="2"/>
        <v>10.447761194029852</v>
      </c>
      <c r="K66" s="35"/>
      <c r="L66" s="38">
        <v>2500</v>
      </c>
      <c r="M66" s="38">
        <v>685.56000000000006</v>
      </c>
      <c r="N66" s="38">
        <v>2050</v>
      </c>
      <c r="O66" s="37">
        <v>23.419354838709676</v>
      </c>
      <c r="P66" s="37">
        <f t="shared" si="5"/>
        <v>2.0327058823529418</v>
      </c>
      <c r="Q66" s="37">
        <f t="shared" si="6"/>
        <v>0.83165137614678897</v>
      </c>
      <c r="R66" s="16"/>
      <c r="S66" s="16"/>
      <c r="T66" s="16"/>
      <c r="U66" s="16"/>
      <c r="V66" s="16"/>
      <c r="W66" s="16"/>
      <c r="X66" s="16"/>
      <c r="Y66" s="16"/>
      <c r="Z66" s="16"/>
      <c r="AA66" s="16"/>
      <c r="AB66" s="16"/>
      <c r="AC66" s="16"/>
      <c r="AD66" s="16"/>
      <c r="AE66" s="16"/>
      <c r="AF66" s="16"/>
      <c r="AG66" s="16"/>
      <c r="AH66" s="16"/>
      <c r="AI66" s="16"/>
      <c r="AJ66" s="16"/>
      <c r="AK66" s="16"/>
      <c r="AL66" s="16"/>
      <c r="AM66" s="16"/>
      <c r="AN66" s="16"/>
      <c r="AO66" s="16"/>
      <c r="AP66" s="16"/>
      <c r="AQ66" s="16"/>
      <c r="AR66" s="16"/>
      <c r="AS66" s="16"/>
    </row>
    <row r="67" spans="2:45" x14ac:dyDescent="0.3">
      <c r="B67" s="41">
        <v>41944</v>
      </c>
      <c r="C67" s="34">
        <f t="shared" si="3"/>
        <v>21.128693753379856</v>
      </c>
      <c r="D67" s="34">
        <f t="shared" si="4"/>
        <v>24.911773577285306</v>
      </c>
      <c r="E67" s="35"/>
      <c r="F67" s="36">
        <v>2350</v>
      </c>
      <c r="G67" s="36">
        <v>1525</v>
      </c>
      <c r="H67" s="34">
        <f t="shared" si="0"/>
        <v>10.422729739061806</v>
      </c>
      <c r="I67" s="34">
        <f t="shared" si="1"/>
        <v>0.49141177551207865</v>
      </c>
      <c r="J67" s="34">
        <f t="shared" si="2"/>
        <v>10.21455223880597</v>
      </c>
      <c r="K67" s="35"/>
      <c r="L67" s="36">
        <v>2350</v>
      </c>
      <c r="M67" s="36">
        <v>726.524</v>
      </c>
      <c r="N67" s="36">
        <v>2050</v>
      </c>
      <c r="O67" s="34">
        <v>21.806451612903224</v>
      </c>
      <c r="P67" s="34">
        <f t="shared" si="5"/>
        <v>2.2736705882352943</v>
      </c>
      <c r="Q67" s="34">
        <f t="shared" si="6"/>
        <v>0.83165137614678897</v>
      </c>
      <c r="R67" s="16"/>
      <c r="S67" s="16"/>
      <c r="T67" s="16"/>
      <c r="U67" s="16"/>
      <c r="V67" s="16"/>
      <c r="W67" s="16"/>
      <c r="X67" s="16"/>
      <c r="Y67" s="16"/>
      <c r="Z67" s="16"/>
      <c r="AA67" s="16"/>
      <c r="AB67" s="16"/>
      <c r="AC67" s="16"/>
      <c r="AD67" s="16"/>
      <c r="AE67" s="16"/>
      <c r="AF67" s="16"/>
      <c r="AG67" s="16"/>
      <c r="AH67" s="16"/>
      <c r="AI67" s="16"/>
      <c r="AJ67" s="16"/>
      <c r="AK67" s="16"/>
      <c r="AL67" s="16"/>
      <c r="AM67" s="16"/>
      <c r="AN67" s="16"/>
      <c r="AO67" s="16"/>
      <c r="AP67" s="16"/>
      <c r="AQ67" s="16"/>
      <c r="AR67" s="16"/>
      <c r="AS67" s="16"/>
    </row>
    <row r="68" spans="2:45" x14ac:dyDescent="0.3">
      <c r="B68" s="42">
        <v>41974</v>
      </c>
      <c r="C68" s="37">
        <f t="shared" si="3"/>
        <v>19.779981418281903</v>
      </c>
      <c r="D68" s="37">
        <f t="shared" si="4"/>
        <v>23.684915796238592</v>
      </c>
      <c r="E68" s="35"/>
      <c r="F68" s="38">
        <v>2275</v>
      </c>
      <c r="G68" s="38">
        <v>1425</v>
      </c>
      <c r="H68" s="37">
        <f t="shared" si="0"/>
        <v>10.052779559019385</v>
      </c>
      <c r="I68" s="37">
        <f t="shared" si="1"/>
        <v>0.4454854413520713</v>
      </c>
      <c r="J68" s="37">
        <f t="shared" si="2"/>
        <v>9.281716417910447</v>
      </c>
      <c r="K68" s="35"/>
      <c r="L68" s="38">
        <v>2250</v>
      </c>
      <c r="M68" s="38">
        <v>706.60249999999996</v>
      </c>
      <c r="N68" s="38">
        <v>1975</v>
      </c>
      <c r="O68" s="37">
        <v>20.731182795698924</v>
      </c>
      <c r="P68" s="37">
        <f t="shared" si="5"/>
        <v>2.1564852941176471</v>
      </c>
      <c r="Q68" s="37">
        <f t="shared" si="6"/>
        <v>0.79724770642201837</v>
      </c>
      <c r="R68" s="16"/>
      <c r="S68" s="16"/>
      <c r="T68" s="16"/>
      <c r="U68" s="16"/>
      <c r="V68" s="16"/>
      <c r="W68" s="16"/>
      <c r="X68" s="16"/>
      <c r="Y68" s="16"/>
      <c r="Z68" s="16"/>
      <c r="AA68" s="16"/>
      <c r="AB68" s="16"/>
      <c r="AC68" s="16"/>
      <c r="AD68" s="16"/>
      <c r="AE68" s="16"/>
      <c r="AF68" s="16"/>
      <c r="AG68" s="16"/>
      <c r="AH68" s="16"/>
      <c r="AI68" s="16"/>
      <c r="AJ68" s="16"/>
      <c r="AK68" s="16"/>
      <c r="AL68" s="16"/>
      <c r="AM68" s="16"/>
      <c r="AN68" s="16"/>
      <c r="AO68" s="16"/>
      <c r="AP68" s="16"/>
      <c r="AQ68" s="16"/>
      <c r="AR68" s="16"/>
      <c r="AS68" s="16"/>
    </row>
    <row r="69" spans="2:45" x14ac:dyDescent="0.3">
      <c r="B69" s="41">
        <v>42005</v>
      </c>
      <c r="C69" s="34">
        <f t="shared" si="3"/>
        <v>19.533347964920289</v>
      </c>
      <c r="D69" s="34">
        <f t="shared" si="4"/>
        <v>22.959954431349342</v>
      </c>
      <c r="E69" s="35"/>
      <c r="F69" s="36">
        <v>2225</v>
      </c>
      <c r="G69" s="36">
        <v>1425</v>
      </c>
      <c r="H69" s="34">
        <f t="shared" si="0"/>
        <v>9.8061461056577706</v>
      </c>
      <c r="I69" s="34">
        <f t="shared" si="1"/>
        <v>0.4454854413520713</v>
      </c>
      <c r="J69" s="34">
        <f t="shared" si="2"/>
        <v>9.281716417910447</v>
      </c>
      <c r="K69" s="35"/>
      <c r="L69" s="36">
        <v>2200</v>
      </c>
      <c r="M69" s="36">
        <v>678.65599999999995</v>
      </c>
      <c r="N69" s="36">
        <v>1925</v>
      </c>
      <c r="O69" s="34">
        <v>20.193548387096776</v>
      </c>
      <c r="P69" s="34">
        <f t="shared" si="5"/>
        <v>1.9920941176470583</v>
      </c>
      <c r="Q69" s="34">
        <f t="shared" si="6"/>
        <v>0.77431192660550463</v>
      </c>
      <c r="R69" s="16"/>
      <c r="S69" s="16"/>
      <c r="T69" s="16"/>
      <c r="U69" s="16"/>
      <c r="V69" s="16"/>
      <c r="W69" s="16"/>
      <c r="X69" s="16"/>
      <c r="Y69" s="16"/>
      <c r="Z69" s="16"/>
      <c r="AA69" s="16"/>
      <c r="AB69" s="16"/>
      <c r="AC69" s="16"/>
      <c r="AD69" s="16"/>
      <c r="AE69" s="16"/>
      <c r="AF69" s="16"/>
      <c r="AG69" s="16"/>
      <c r="AH69" s="16"/>
      <c r="AI69" s="16"/>
      <c r="AJ69" s="16"/>
      <c r="AK69" s="16"/>
      <c r="AL69" s="16"/>
      <c r="AM69" s="16"/>
      <c r="AN69" s="16"/>
      <c r="AO69" s="16"/>
      <c r="AP69" s="16"/>
      <c r="AQ69" s="16"/>
      <c r="AR69" s="16"/>
      <c r="AS69" s="16"/>
    </row>
    <row r="70" spans="2:45" x14ac:dyDescent="0.3">
      <c r="B70" s="42">
        <v>42036</v>
      </c>
      <c r="C70" s="37">
        <f t="shared" si="3"/>
        <v>23.581427884811873</v>
      </c>
      <c r="D70" s="37">
        <f t="shared" si="4"/>
        <v>25.930326204527386</v>
      </c>
      <c r="E70" s="35"/>
      <c r="F70" s="38">
        <v>2500</v>
      </c>
      <c r="G70" s="38">
        <v>1700</v>
      </c>
      <c r="H70" s="37">
        <f t="shared" si="0"/>
        <v>11.162630099146648</v>
      </c>
      <c r="I70" s="37">
        <f t="shared" si="1"/>
        <v>0.57178286029209147</v>
      </c>
      <c r="J70" s="37">
        <f t="shared" si="2"/>
        <v>11.847014925373134</v>
      </c>
      <c r="K70" s="35"/>
      <c r="L70" s="38">
        <v>2450</v>
      </c>
      <c r="M70" s="38">
        <v>705.18499999999995</v>
      </c>
      <c r="N70" s="38">
        <v>2200</v>
      </c>
      <c r="O70" s="37">
        <v>22.881720430107528</v>
      </c>
      <c r="P70" s="37">
        <f t="shared" si="5"/>
        <v>2.148147058823529</v>
      </c>
      <c r="Q70" s="37">
        <f t="shared" si="6"/>
        <v>0.90045871559633028</v>
      </c>
      <c r="R70" s="16"/>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c r="AR70" s="16"/>
      <c r="AS70" s="16"/>
    </row>
    <row r="71" spans="2:45" x14ac:dyDescent="0.3">
      <c r="B71" s="41">
        <v>42064</v>
      </c>
      <c r="C71" s="34">
        <f t="shared" si="3"/>
        <v>21.37338429214374</v>
      </c>
      <c r="D71" s="34">
        <f t="shared" si="4"/>
        <v>24.699160636108836</v>
      </c>
      <c r="E71" s="35"/>
      <c r="F71" s="36">
        <v>2350</v>
      </c>
      <c r="G71" s="36">
        <v>1550</v>
      </c>
      <c r="H71" s="34">
        <f t="shared" si="0"/>
        <v>10.422729739061806</v>
      </c>
      <c r="I71" s="34">
        <f t="shared" si="1"/>
        <v>0.50289335905208044</v>
      </c>
      <c r="J71" s="34">
        <f t="shared" si="2"/>
        <v>10.447761194029852</v>
      </c>
      <c r="K71" s="35"/>
      <c r="L71" s="36">
        <v>2350</v>
      </c>
      <c r="M71" s="36">
        <v>690.37980000000005</v>
      </c>
      <c r="N71" s="36">
        <v>2050</v>
      </c>
      <c r="O71" s="34">
        <v>21.806451612903224</v>
      </c>
      <c r="P71" s="34">
        <f t="shared" si="5"/>
        <v>2.0610576470588238</v>
      </c>
      <c r="Q71" s="34">
        <f t="shared" si="6"/>
        <v>0.83165137614678897</v>
      </c>
      <c r="R71" s="16"/>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c r="AR71" s="16"/>
      <c r="AS71" s="16"/>
    </row>
    <row r="72" spans="2:45" x14ac:dyDescent="0.3">
      <c r="B72" s="42">
        <v>42095</v>
      </c>
      <c r="C72" s="37">
        <f t="shared" si="3"/>
        <v>19.903298144962712</v>
      </c>
      <c r="D72" s="37">
        <f t="shared" si="4"/>
        <v>24.503473091586443</v>
      </c>
      <c r="E72" s="35"/>
      <c r="F72" s="38">
        <v>2300</v>
      </c>
      <c r="G72" s="38">
        <v>1425</v>
      </c>
      <c r="H72" s="37">
        <f t="shared" si="0"/>
        <v>10.176096285700192</v>
      </c>
      <c r="I72" s="37">
        <f t="shared" si="1"/>
        <v>0.4454854413520713</v>
      </c>
      <c r="J72" s="37">
        <f t="shared" si="2"/>
        <v>9.281716417910447</v>
      </c>
      <c r="K72" s="35"/>
      <c r="L72" s="38">
        <v>2350</v>
      </c>
      <c r="M72" s="38">
        <v>661.01199999999994</v>
      </c>
      <c r="N72" s="38">
        <v>2000</v>
      </c>
      <c r="O72" s="37">
        <v>21.806451612903224</v>
      </c>
      <c r="P72" s="37">
        <f t="shared" si="5"/>
        <v>1.8883058823529408</v>
      </c>
      <c r="Q72" s="37">
        <f t="shared" si="6"/>
        <v>0.80871559633027523</v>
      </c>
      <c r="R72" s="16"/>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c r="AR72" s="16"/>
      <c r="AS72" s="16"/>
    </row>
    <row r="73" spans="2:45" x14ac:dyDescent="0.3">
      <c r="B73" s="41">
        <v>42125</v>
      </c>
      <c r="C73" s="34">
        <f t="shared" si="3"/>
        <v>18.184635629822338</v>
      </c>
      <c r="D73" s="34">
        <f t="shared" si="4"/>
        <v>24.337759869783959</v>
      </c>
      <c r="E73" s="35"/>
      <c r="F73" s="36">
        <v>2150</v>
      </c>
      <c r="G73" s="36">
        <v>1325</v>
      </c>
      <c r="H73" s="34">
        <f t="shared" ref="H73:H127" si="7">(F73-237)*100/20273</f>
        <v>9.4361959256153511</v>
      </c>
      <c r="I73" s="34">
        <f t="shared" ref="I73:I127" si="8">((G73-103)-352)*100/217740</f>
        <v>0.39955910719206394</v>
      </c>
      <c r="J73" s="34">
        <f t="shared" ref="J73:J127" si="9">(G73-430)*100/10720</f>
        <v>8.3488805970149258</v>
      </c>
      <c r="K73" s="35"/>
      <c r="L73" s="36">
        <v>2350</v>
      </c>
      <c r="M73" s="36">
        <v>644.53800000000001</v>
      </c>
      <c r="N73" s="36">
        <v>1850</v>
      </c>
      <c r="O73" s="34">
        <v>21.806451612903224</v>
      </c>
      <c r="P73" s="34">
        <f t="shared" si="5"/>
        <v>1.7914000000000001</v>
      </c>
      <c r="Q73" s="34">
        <f t="shared" si="6"/>
        <v>0.73990825688073392</v>
      </c>
      <c r="R73" s="16"/>
      <c r="S73" s="16"/>
      <c r="T73" s="16"/>
      <c r="U73" s="16"/>
      <c r="V73" s="16"/>
      <c r="W73" s="16"/>
      <c r="X73" s="16"/>
      <c r="Y73" s="16"/>
      <c r="Z73" s="16"/>
      <c r="AA73" s="16"/>
      <c r="AB73" s="16"/>
      <c r="AC73" s="16"/>
      <c r="AD73" s="16"/>
      <c r="AE73" s="16"/>
      <c r="AF73" s="16"/>
      <c r="AG73" s="16"/>
      <c r="AH73" s="16"/>
      <c r="AI73" s="16"/>
      <c r="AJ73" s="16"/>
      <c r="AK73" s="16"/>
      <c r="AL73" s="16"/>
      <c r="AM73" s="16"/>
      <c r="AN73" s="16"/>
      <c r="AO73" s="16"/>
      <c r="AP73" s="16"/>
      <c r="AQ73" s="16"/>
      <c r="AR73" s="16"/>
      <c r="AS73" s="16"/>
    </row>
    <row r="74" spans="2:45" x14ac:dyDescent="0.3">
      <c r="B74" s="42">
        <v>42156</v>
      </c>
      <c r="C74" s="37">
        <f t="shared" ref="C74:C124" si="10">H74+I74+J74</f>
        <v>17.695254552294578</v>
      </c>
      <c r="D74" s="37">
        <f t="shared" ref="D74:D124" si="11">O74+P74+Q74</f>
        <v>23.902465752136902</v>
      </c>
      <c r="E74" s="35"/>
      <c r="F74" s="38">
        <v>2150</v>
      </c>
      <c r="G74" s="38">
        <v>1275</v>
      </c>
      <c r="H74" s="37">
        <f t="shared" si="7"/>
        <v>9.4361959256153511</v>
      </c>
      <c r="I74" s="37">
        <f t="shared" si="8"/>
        <v>0.37659594011206027</v>
      </c>
      <c r="J74" s="37">
        <f t="shared" si="9"/>
        <v>7.8824626865671643</v>
      </c>
      <c r="K74" s="35"/>
      <c r="L74" s="38">
        <v>2350</v>
      </c>
      <c r="M74" s="38">
        <v>570.53800000000001</v>
      </c>
      <c r="N74" s="38">
        <v>1850</v>
      </c>
      <c r="O74" s="37">
        <v>21.806451612903224</v>
      </c>
      <c r="P74" s="37">
        <f t="shared" si="5"/>
        <v>1.3561058823529413</v>
      </c>
      <c r="Q74" s="37">
        <f t="shared" si="6"/>
        <v>0.73990825688073392</v>
      </c>
      <c r="R74" s="16"/>
      <c r="S74" s="16"/>
      <c r="T74" s="16"/>
      <c r="U74" s="16"/>
      <c r="V74" s="16"/>
      <c r="W74" s="16"/>
      <c r="X74" s="16"/>
      <c r="Y74" s="16"/>
      <c r="Z74" s="16"/>
      <c r="AA74" s="16"/>
      <c r="AB74" s="16"/>
      <c r="AC74" s="16"/>
      <c r="AD74" s="16"/>
      <c r="AE74" s="16"/>
      <c r="AF74" s="16"/>
      <c r="AG74" s="16"/>
      <c r="AH74" s="16"/>
      <c r="AI74" s="16"/>
      <c r="AJ74" s="16"/>
      <c r="AK74" s="16"/>
      <c r="AL74" s="16"/>
      <c r="AM74" s="16"/>
      <c r="AN74" s="16"/>
      <c r="AO74" s="16"/>
      <c r="AP74" s="16"/>
      <c r="AQ74" s="16"/>
      <c r="AR74" s="16"/>
      <c r="AS74" s="16"/>
    </row>
    <row r="75" spans="2:45" x14ac:dyDescent="0.3">
      <c r="B75" s="41">
        <v>42186</v>
      </c>
      <c r="C75" s="34">
        <f t="shared" si="10"/>
        <v>16.712606568043583</v>
      </c>
      <c r="D75" s="34">
        <f t="shared" si="11"/>
        <v>22.578139638424179</v>
      </c>
      <c r="E75" s="35"/>
      <c r="F75" s="36">
        <v>2050</v>
      </c>
      <c r="G75" s="36">
        <v>1225</v>
      </c>
      <c r="H75" s="34">
        <f t="shared" si="7"/>
        <v>8.9429290188921229</v>
      </c>
      <c r="I75" s="34">
        <f t="shared" si="8"/>
        <v>0.35363277303205659</v>
      </c>
      <c r="J75" s="34">
        <f t="shared" si="9"/>
        <v>7.4160447761194028</v>
      </c>
      <c r="K75" s="35"/>
      <c r="L75" s="36">
        <v>2275</v>
      </c>
      <c r="M75" s="36">
        <v>490.29750000000001</v>
      </c>
      <c r="N75" s="36">
        <v>1750</v>
      </c>
      <c r="O75" s="34">
        <v>21</v>
      </c>
      <c r="P75" s="34">
        <f t="shared" ref="P75:P126" si="12">(M75-340)*100/17000</f>
        <v>0.8841029411764707</v>
      </c>
      <c r="Q75" s="34">
        <f t="shared" ref="Q75:Q126" si="13">(N75-237)*100/218000</f>
        <v>0.69403669724770645</v>
      </c>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c r="AR75" s="16"/>
      <c r="AS75" s="16"/>
    </row>
    <row r="76" spans="2:45" x14ac:dyDescent="0.3">
      <c r="B76" s="42">
        <v>42217</v>
      </c>
      <c r="C76" s="37">
        <f t="shared" si="10"/>
        <v>15.483325130430977</v>
      </c>
      <c r="D76" s="37">
        <f t="shared" si="11"/>
        <v>20.123238193977798</v>
      </c>
      <c r="E76" s="35"/>
      <c r="F76" s="38">
        <v>1900</v>
      </c>
      <c r="G76" s="38">
        <v>1175</v>
      </c>
      <c r="H76" s="37">
        <f t="shared" si="7"/>
        <v>8.2030286588072805</v>
      </c>
      <c r="I76" s="37">
        <f t="shared" si="8"/>
        <v>0.33066960595205291</v>
      </c>
      <c r="J76" s="37">
        <f t="shared" si="9"/>
        <v>6.9496268656716422</v>
      </c>
      <c r="K76" s="35"/>
      <c r="L76" s="38">
        <v>2075</v>
      </c>
      <c r="M76" s="38">
        <v>450.25290000000001</v>
      </c>
      <c r="N76" s="38">
        <v>1600</v>
      </c>
      <c r="O76" s="37">
        <v>18.849462365591396</v>
      </c>
      <c r="P76" s="37">
        <f t="shared" si="12"/>
        <v>0.64854647058823534</v>
      </c>
      <c r="Q76" s="37">
        <f t="shared" si="13"/>
        <v>0.62522935779816513</v>
      </c>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c r="AR76" s="16"/>
      <c r="AS76" s="16"/>
    </row>
    <row r="77" spans="2:45" x14ac:dyDescent="0.3">
      <c r="B77" s="41">
        <v>42248</v>
      </c>
      <c r="C77" s="34">
        <f t="shared" si="10"/>
        <v>16.957297106807466</v>
      </c>
      <c r="D77" s="34">
        <f t="shared" si="11"/>
        <v>20.284472592250868</v>
      </c>
      <c r="E77" s="35"/>
      <c r="F77" s="36">
        <v>2050</v>
      </c>
      <c r="G77" s="36">
        <v>1250</v>
      </c>
      <c r="H77" s="34">
        <f t="shared" si="7"/>
        <v>8.9429290188921229</v>
      </c>
      <c r="I77" s="34">
        <f t="shared" si="8"/>
        <v>0.36511435657205843</v>
      </c>
      <c r="J77" s="34">
        <f t="shared" si="9"/>
        <v>7.6492537313432836</v>
      </c>
      <c r="K77" s="35"/>
      <c r="L77" s="36">
        <v>2075</v>
      </c>
      <c r="M77" s="36">
        <v>465.96550000000002</v>
      </c>
      <c r="N77" s="36">
        <v>1750</v>
      </c>
      <c r="O77" s="34">
        <v>18.849462365591396</v>
      </c>
      <c r="P77" s="34">
        <f t="shared" si="12"/>
        <v>0.74097352941176486</v>
      </c>
      <c r="Q77" s="34">
        <f t="shared" si="13"/>
        <v>0.69403669724770645</v>
      </c>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c r="AR77" s="16"/>
      <c r="AS77" s="16"/>
    </row>
    <row r="78" spans="2:45" x14ac:dyDescent="0.3">
      <c r="B78" s="42">
        <v>42278</v>
      </c>
      <c r="C78" s="37">
        <f t="shared" si="10"/>
        <v>17.939945091058455</v>
      </c>
      <c r="D78" s="37">
        <f t="shared" si="11"/>
        <v>20.670776062067326</v>
      </c>
      <c r="E78" s="35"/>
      <c r="F78" s="38">
        <v>2150</v>
      </c>
      <c r="G78" s="38">
        <v>1300</v>
      </c>
      <c r="H78" s="37">
        <f t="shared" si="7"/>
        <v>9.4361959256153511</v>
      </c>
      <c r="I78" s="37">
        <f t="shared" si="8"/>
        <v>0.38807752365206211</v>
      </c>
      <c r="J78" s="37">
        <f t="shared" si="9"/>
        <v>8.1156716417910442</v>
      </c>
      <c r="K78" s="35"/>
      <c r="L78" s="38">
        <v>2100</v>
      </c>
      <c r="M78" s="38">
        <v>478.14000000000004</v>
      </c>
      <c r="N78" s="38">
        <v>1850</v>
      </c>
      <c r="O78" s="37">
        <v>19.118279569892472</v>
      </c>
      <c r="P78" s="37">
        <f t="shared" si="12"/>
        <v>0.81258823529411783</v>
      </c>
      <c r="Q78" s="37">
        <f t="shared" si="13"/>
        <v>0.73990825688073392</v>
      </c>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c r="AR78" s="16"/>
      <c r="AS78" s="16"/>
    </row>
    <row r="79" spans="2:45" x14ac:dyDescent="0.3">
      <c r="B79" s="41">
        <v>42309</v>
      </c>
      <c r="C79" s="34">
        <f t="shared" si="10"/>
        <v>16.221282575918085</v>
      </c>
      <c r="D79" s="34">
        <f t="shared" si="11"/>
        <v>19.052507995230055</v>
      </c>
      <c r="E79" s="35"/>
      <c r="F79" s="36">
        <v>2000</v>
      </c>
      <c r="G79" s="36">
        <v>1200</v>
      </c>
      <c r="H79" s="34">
        <f t="shared" si="7"/>
        <v>8.6962955655305088</v>
      </c>
      <c r="I79" s="34">
        <f t="shared" si="8"/>
        <v>0.34215118949205475</v>
      </c>
      <c r="J79" s="34">
        <f t="shared" si="9"/>
        <v>7.1828358208955221</v>
      </c>
      <c r="K79" s="35"/>
      <c r="L79" s="36">
        <v>1975</v>
      </c>
      <c r="M79" s="36">
        <v>443.22629999999998</v>
      </c>
      <c r="N79" s="36">
        <v>1700</v>
      </c>
      <c r="O79" s="34">
        <v>17.774193548387096</v>
      </c>
      <c r="P79" s="34">
        <f t="shared" si="12"/>
        <v>0.60721352941176454</v>
      </c>
      <c r="Q79" s="34">
        <f t="shared" si="13"/>
        <v>0.67110091743119271</v>
      </c>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row>
    <row r="80" spans="2:45" x14ac:dyDescent="0.3">
      <c r="B80" s="42">
        <v>42339</v>
      </c>
      <c r="C80" s="37">
        <f t="shared" si="10"/>
        <v>15.976592037154205</v>
      </c>
      <c r="D80" s="37">
        <f t="shared" si="11"/>
        <v>18.945853289347703</v>
      </c>
      <c r="E80" s="35"/>
      <c r="F80" s="38">
        <v>2000</v>
      </c>
      <c r="G80" s="38">
        <v>1175</v>
      </c>
      <c r="H80" s="37">
        <f t="shared" si="7"/>
        <v>8.6962955655305088</v>
      </c>
      <c r="I80" s="37">
        <f t="shared" si="8"/>
        <v>0.33066960595205291</v>
      </c>
      <c r="J80" s="37">
        <f t="shared" si="9"/>
        <v>6.9496268656716422</v>
      </c>
      <c r="K80" s="35"/>
      <c r="L80" s="38">
        <v>1975</v>
      </c>
      <c r="M80" s="38">
        <v>425.09500000000003</v>
      </c>
      <c r="N80" s="38">
        <v>1700</v>
      </c>
      <c r="O80" s="37">
        <v>17.774193548387096</v>
      </c>
      <c r="P80" s="37">
        <f t="shared" si="12"/>
        <v>0.50055882352941194</v>
      </c>
      <c r="Q80" s="37">
        <f t="shared" si="13"/>
        <v>0.67110091743119271</v>
      </c>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row>
    <row r="81" spans="2:45" x14ac:dyDescent="0.3">
      <c r="B81" s="41">
        <v>42370</v>
      </c>
      <c r="C81" s="34">
        <f t="shared" si="10"/>
        <v>16.09990876383501</v>
      </c>
      <c r="D81" s="34">
        <f t="shared" si="11"/>
        <v>17.723946922456463</v>
      </c>
      <c r="E81" s="35"/>
      <c r="F81" s="36">
        <v>2025</v>
      </c>
      <c r="G81" s="36">
        <v>1175</v>
      </c>
      <c r="H81" s="34">
        <f t="shared" si="7"/>
        <v>8.8196122922113158</v>
      </c>
      <c r="I81" s="34">
        <f t="shared" si="8"/>
        <v>0.33066960595205291</v>
      </c>
      <c r="J81" s="34">
        <f t="shared" si="9"/>
        <v>6.9496268656716422</v>
      </c>
      <c r="K81" s="35"/>
      <c r="L81" s="36">
        <v>1850</v>
      </c>
      <c r="M81" s="36">
        <v>443.916</v>
      </c>
      <c r="N81" s="36">
        <v>1725</v>
      </c>
      <c r="O81" s="34">
        <v>16.43010752688172</v>
      </c>
      <c r="P81" s="34">
        <f t="shared" si="12"/>
        <v>0.61127058823529412</v>
      </c>
      <c r="Q81" s="34">
        <f t="shared" si="13"/>
        <v>0.68256880733944958</v>
      </c>
      <c r="R81" s="16"/>
      <c r="S81" s="16"/>
      <c r="T81" s="16"/>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row>
    <row r="82" spans="2:45" x14ac:dyDescent="0.3">
      <c r="B82" s="42">
        <v>42401</v>
      </c>
      <c r="C82" s="37">
        <f t="shared" si="10"/>
        <v>15.974649122556471</v>
      </c>
      <c r="D82" s="37">
        <f t="shared" si="11"/>
        <v>17.415257224901207</v>
      </c>
      <c r="E82" s="35"/>
      <c r="F82" s="38">
        <v>1950</v>
      </c>
      <c r="G82" s="38">
        <v>1200</v>
      </c>
      <c r="H82" s="37">
        <f t="shared" si="7"/>
        <v>8.4496621121688946</v>
      </c>
      <c r="I82" s="37">
        <f t="shared" si="8"/>
        <v>0.34215118949205475</v>
      </c>
      <c r="J82" s="37">
        <f t="shared" si="9"/>
        <v>7.1828358208955221</v>
      </c>
      <c r="K82" s="35"/>
      <c r="L82" s="38">
        <v>1825</v>
      </c>
      <c r="M82" s="38">
        <v>442.98630000000003</v>
      </c>
      <c r="N82" s="38">
        <v>1650</v>
      </c>
      <c r="O82" s="37">
        <v>16.161290322580644</v>
      </c>
      <c r="P82" s="37">
        <f t="shared" si="12"/>
        <v>0.60580176470588254</v>
      </c>
      <c r="Q82" s="37">
        <f t="shared" si="13"/>
        <v>0.64816513761467887</v>
      </c>
      <c r="R82" s="16"/>
      <c r="S82" s="16"/>
      <c r="T82" s="16"/>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row>
    <row r="83" spans="2:45" x14ac:dyDescent="0.3">
      <c r="B83" s="41">
        <v>42430</v>
      </c>
      <c r="C83" s="34">
        <f t="shared" si="10"/>
        <v>15.481382215833243</v>
      </c>
      <c r="D83" s="34">
        <f t="shared" si="11"/>
        <v>16.220729789240348</v>
      </c>
      <c r="E83" s="35"/>
      <c r="F83" s="36">
        <v>1850</v>
      </c>
      <c r="G83" s="36">
        <v>1200</v>
      </c>
      <c r="H83" s="34">
        <f t="shared" si="7"/>
        <v>7.9563952054456664</v>
      </c>
      <c r="I83" s="34">
        <f t="shared" si="8"/>
        <v>0.34215118949205475</v>
      </c>
      <c r="J83" s="34">
        <f t="shared" si="9"/>
        <v>7.1828358208955221</v>
      </c>
      <c r="K83" s="35"/>
      <c r="L83" s="36">
        <v>1725</v>
      </c>
      <c r="M83" s="36">
        <v>430.51049999999998</v>
      </c>
      <c r="N83" s="36">
        <v>1550</v>
      </c>
      <c r="O83" s="34">
        <v>15.086021505376344</v>
      </c>
      <c r="P83" s="34">
        <f t="shared" si="12"/>
        <v>0.53241470588235285</v>
      </c>
      <c r="Q83" s="34">
        <f t="shared" si="13"/>
        <v>0.6022935779816514</v>
      </c>
      <c r="R83" s="16"/>
      <c r="S83" s="16"/>
      <c r="T83" s="16"/>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row>
    <row r="84" spans="2:45" x14ac:dyDescent="0.3">
      <c r="B84" s="42">
        <v>42461</v>
      </c>
      <c r="C84" s="37">
        <f t="shared" si="10"/>
        <v>15.481382215833243</v>
      </c>
      <c r="D84" s="37">
        <f t="shared" si="11"/>
        <v>15.70852346299114</v>
      </c>
      <c r="E84" s="35"/>
      <c r="F84" s="38">
        <v>1850</v>
      </c>
      <c r="G84" s="38">
        <v>1200</v>
      </c>
      <c r="H84" s="37">
        <f t="shared" si="7"/>
        <v>7.9563952054456664</v>
      </c>
      <c r="I84" s="37">
        <f t="shared" si="8"/>
        <v>0.34215118949205475</v>
      </c>
      <c r="J84" s="37">
        <f t="shared" si="9"/>
        <v>7.1828358208955221</v>
      </c>
      <c r="K84" s="35"/>
      <c r="L84" s="38">
        <v>1675</v>
      </c>
      <c r="M84" s="38">
        <v>434.83327400000002</v>
      </c>
      <c r="N84" s="38">
        <v>1550</v>
      </c>
      <c r="O84" s="37">
        <v>14.548387096774194</v>
      </c>
      <c r="P84" s="37">
        <f t="shared" si="12"/>
        <v>0.55784278823529421</v>
      </c>
      <c r="Q84" s="37">
        <f t="shared" si="13"/>
        <v>0.6022935779816514</v>
      </c>
      <c r="R84" s="16"/>
      <c r="S84" s="16"/>
      <c r="T84" s="16"/>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row>
    <row r="85" spans="2:45" x14ac:dyDescent="0.3">
      <c r="B85" s="41">
        <v>42491</v>
      </c>
      <c r="C85" s="34">
        <f t="shared" si="10"/>
        <v>16.833980380126658</v>
      </c>
      <c r="D85" s="34">
        <f t="shared" si="11"/>
        <v>16.554852746428633</v>
      </c>
      <c r="E85" s="35"/>
      <c r="F85" s="36">
        <v>2025</v>
      </c>
      <c r="G85" s="36">
        <v>1250</v>
      </c>
      <c r="H85" s="34">
        <f t="shared" si="7"/>
        <v>8.8196122922113158</v>
      </c>
      <c r="I85" s="34">
        <f t="shared" si="8"/>
        <v>0.36511435657205843</v>
      </c>
      <c r="J85" s="34">
        <f t="shared" si="9"/>
        <v>7.6492537313432836</v>
      </c>
      <c r="K85" s="35"/>
      <c r="L85" s="36">
        <v>1750</v>
      </c>
      <c r="M85" s="36">
        <v>427.96568900000005</v>
      </c>
      <c r="N85" s="36">
        <v>1725</v>
      </c>
      <c r="O85" s="34">
        <v>15.35483870967742</v>
      </c>
      <c r="P85" s="34">
        <f t="shared" si="12"/>
        <v>0.51744522941176507</v>
      </c>
      <c r="Q85" s="34">
        <f t="shared" si="13"/>
        <v>0.68256880733944958</v>
      </c>
      <c r="R85" s="16"/>
      <c r="S85" s="16"/>
      <c r="T85" s="16"/>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row>
    <row r="86" spans="2:45" x14ac:dyDescent="0.3">
      <c r="B86" s="42">
        <v>42522</v>
      </c>
      <c r="C86" s="37">
        <f t="shared" si="10"/>
        <v>18.926478904504911</v>
      </c>
      <c r="D86" s="37">
        <f t="shared" si="11"/>
        <v>19.632401787658488</v>
      </c>
      <c r="E86" s="35"/>
      <c r="F86" s="38">
        <v>2350</v>
      </c>
      <c r="G86" s="38">
        <v>1300</v>
      </c>
      <c r="H86" s="37">
        <f t="shared" si="7"/>
        <v>10.422729739061806</v>
      </c>
      <c r="I86" s="37">
        <f t="shared" si="8"/>
        <v>0.38807752365206211</v>
      </c>
      <c r="J86" s="37">
        <f t="shared" si="9"/>
        <v>8.1156716417910442</v>
      </c>
      <c r="K86" s="35"/>
      <c r="L86" s="38">
        <v>2000</v>
      </c>
      <c r="M86" s="38">
        <v>468.815742</v>
      </c>
      <c r="N86" s="38">
        <v>2050</v>
      </c>
      <c r="O86" s="37">
        <v>18.043010752688172</v>
      </c>
      <c r="P86" s="37">
        <f t="shared" si="12"/>
        <v>0.75773965882352934</v>
      </c>
      <c r="Q86" s="37">
        <f t="shared" si="13"/>
        <v>0.83165137614678897</v>
      </c>
      <c r="R86" s="16"/>
      <c r="S86" s="16"/>
      <c r="T86" s="16"/>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row>
    <row r="87" spans="2:45" x14ac:dyDescent="0.3">
      <c r="B87" s="41">
        <v>42552</v>
      </c>
      <c r="C87" s="34">
        <f t="shared" si="10"/>
        <v>23.350337748232114</v>
      </c>
      <c r="D87" s="34">
        <f t="shared" si="11"/>
        <v>23.548068143318886</v>
      </c>
      <c r="E87" s="35"/>
      <c r="F87" s="36">
        <v>2850</v>
      </c>
      <c r="G87" s="36">
        <v>1500</v>
      </c>
      <c r="H87" s="34">
        <f t="shared" si="7"/>
        <v>12.889064272677945</v>
      </c>
      <c r="I87" s="34">
        <f t="shared" si="8"/>
        <v>0.47993019197207681</v>
      </c>
      <c r="J87" s="34">
        <f t="shared" si="9"/>
        <v>9.9813432835820901</v>
      </c>
      <c r="K87" s="35"/>
      <c r="L87" s="36">
        <v>2300</v>
      </c>
      <c r="M87" s="36">
        <v>547.10110000000009</v>
      </c>
      <c r="N87" s="36">
        <v>2550</v>
      </c>
      <c r="O87" s="34">
        <v>21.268817204301076</v>
      </c>
      <c r="P87" s="34">
        <f t="shared" si="12"/>
        <v>1.2182417647058827</v>
      </c>
      <c r="Q87" s="34">
        <f t="shared" si="13"/>
        <v>1.0610091743119265</v>
      </c>
      <c r="R87" s="16"/>
      <c r="S87" s="16"/>
      <c r="T87" s="16"/>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row>
    <row r="88" spans="2:45" x14ac:dyDescent="0.3">
      <c r="B88" s="42">
        <v>42583</v>
      </c>
      <c r="C88" s="37">
        <f t="shared" si="10"/>
        <v>26.008538883663896</v>
      </c>
      <c r="D88" s="37">
        <f t="shared" si="11"/>
        <v>28.02133798912487</v>
      </c>
      <c r="E88" s="35"/>
      <c r="F88" s="38">
        <v>3250</v>
      </c>
      <c r="G88" s="38">
        <v>1570</v>
      </c>
      <c r="H88" s="37">
        <f t="shared" si="7"/>
        <v>14.862131899570858</v>
      </c>
      <c r="I88" s="37">
        <f t="shared" si="8"/>
        <v>0.51207862588408193</v>
      </c>
      <c r="J88" s="37">
        <f t="shared" si="9"/>
        <v>10.634328358208956</v>
      </c>
      <c r="K88" s="35"/>
      <c r="L88" s="38">
        <v>2650</v>
      </c>
      <c r="M88" s="38">
        <v>636.57936700000005</v>
      </c>
      <c r="N88" s="38">
        <v>2950</v>
      </c>
      <c r="O88" s="37">
        <v>25.032258064516128</v>
      </c>
      <c r="P88" s="37">
        <f t="shared" si="12"/>
        <v>1.7445845117647063</v>
      </c>
      <c r="Q88" s="37">
        <f t="shared" si="13"/>
        <v>1.2444954128440366</v>
      </c>
      <c r="R88" s="16"/>
      <c r="S88" s="16"/>
      <c r="T88" s="16"/>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row>
    <row r="89" spans="2:45" x14ac:dyDescent="0.3">
      <c r="B89" s="41">
        <v>42614</v>
      </c>
      <c r="C89" s="34">
        <f t="shared" si="10"/>
        <v>28.467101758889111</v>
      </c>
      <c r="D89" s="34">
        <f t="shared" si="11"/>
        <v>32.400328853349698</v>
      </c>
      <c r="E89" s="35"/>
      <c r="F89" s="36">
        <v>3550</v>
      </c>
      <c r="G89" s="36">
        <v>1670</v>
      </c>
      <c r="H89" s="34">
        <f t="shared" si="7"/>
        <v>16.341932619740543</v>
      </c>
      <c r="I89" s="34">
        <f t="shared" si="8"/>
        <v>0.55800496004408928</v>
      </c>
      <c r="J89" s="34">
        <f t="shared" si="9"/>
        <v>11.567164179104477</v>
      </c>
      <c r="K89" s="35"/>
      <c r="L89" s="36">
        <v>2975</v>
      </c>
      <c r="M89" s="36">
        <v>763.52729699999998</v>
      </c>
      <c r="N89" s="36">
        <v>3250</v>
      </c>
      <c r="O89" s="34">
        <v>28.526881720430108</v>
      </c>
      <c r="P89" s="34">
        <f t="shared" si="12"/>
        <v>2.4913370411764704</v>
      </c>
      <c r="Q89" s="34">
        <f t="shared" si="13"/>
        <v>1.3821100917431193</v>
      </c>
      <c r="R89" s="16"/>
      <c r="S89" s="16"/>
      <c r="T89" s="16"/>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row>
    <row r="90" spans="2:45" x14ac:dyDescent="0.3">
      <c r="B90" s="42">
        <v>42644</v>
      </c>
      <c r="C90" s="37">
        <f t="shared" si="10"/>
        <v>31.313283666941068</v>
      </c>
      <c r="D90" s="37">
        <f t="shared" si="11"/>
        <v>33.946231248959833</v>
      </c>
      <c r="E90" s="35"/>
      <c r="F90" s="38">
        <v>3750</v>
      </c>
      <c r="G90" s="38">
        <v>1860</v>
      </c>
      <c r="H90" s="37">
        <f t="shared" si="7"/>
        <v>17.328466433186996</v>
      </c>
      <c r="I90" s="37">
        <f t="shared" si="8"/>
        <v>0.64526499494810319</v>
      </c>
      <c r="J90" s="37">
        <f t="shared" si="9"/>
        <v>13.33955223880597</v>
      </c>
      <c r="K90" s="35"/>
      <c r="L90" s="38">
        <v>3070</v>
      </c>
      <c r="M90" s="38">
        <v>837.07845999999995</v>
      </c>
      <c r="N90" s="38">
        <v>3450</v>
      </c>
      <c r="O90" s="37">
        <v>29.548387096774192</v>
      </c>
      <c r="P90" s="37">
        <f t="shared" si="12"/>
        <v>2.9239909411764704</v>
      </c>
      <c r="Q90" s="37">
        <f t="shared" si="13"/>
        <v>1.4738532110091742</v>
      </c>
      <c r="R90" s="16"/>
      <c r="S90" s="16"/>
      <c r="T90" s="16"/>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row>
    <row r="91" spans="2:45" x14ac:dyDescent="0.3">
      <c r="B91" s="41">
        <v>42675</v>
      </c>
      <c r="C91" s="34">
        <f t="shared" si="10"/>
        <v>31.462040904797135</v>
      </c>
      <c r="D91" s="34">
        <f t="shared" si="11"/>
        <v>33.682872851673253</v>
      </c>
      <c r="E91" s="35"/>
      <c r="F91" s="36">
        <v>3800</v>
      </c>
      <c r="G91" s="36">
        <v>1850</v>
      </c>
      <c r="H91" s="34">
        <f t="shared" si="7"/>
        <v>17.57509988654861</v>
      </c>
      <c r="I91" s="34">
        <f t="shared" si="8"/>
        <v>0.6406723615321025</v>
      </c>
      <c r="J91" s="34">
        <f t="shared" si="9"/>
        <v>13.246268656716419</v>
      </c>
      <c r="K91" s="35"/>
      <c r="L91" s="36">
        <v>3080</v>
      </c>
      <c r="M91" s="36">
        <v>770.12887999999998</v>
      </c>
      <c r="N91" s="36">
        <v>3500</v>
      </c>
      <c r="O91" s="34">
        <v>29.655913978494624</v>
      </c>
      <c r="P91" s="34">
        <f t="shared" si="12"/>
        <v>2.5301698823529413</v>
      </c>
      <c r="Q91" s="34">
        <f t="shared" si="13"/>
        <v>1.4967889908256882</v>
      </c>
      <c r="R91" s="16"/>
      <c r="S91" s="16"/>
      <c r="T91" s="16"/>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row>
    <row r="92" spans="2:45" x14ac:dyDescent="0.3">
      <c r="B92" s="42">
        <v>42705</v>
      </c>
      <c r="C92" s="37">
        <f t="shared" si="10"/>
        <v>30.968773998073907</v>
      </c>
      <c r="D92" s="37">
        <f t="shared" si="11"/>
        <v>33.536941374393166</v>
      </c>
      <c r="E92" s="35"/>
      <c r="F92" s="38">
        <v>3700</v>
      </c>
      <c r="G92" s="38">
        <v>1850</v>
      </c>
      <c r="H92" s="37">
        <f t="shared" si="7"/>
        <v>17.081832979825382</v>
      </c>
      <c r="I92" s="37">
        <f t="shared" si="8"/>
        <v>0.6406723615321025</v>
      </c>
      <c r="J92" s="37">
        <f t="shared" si="9"/>
        <v>13.246268656716419</v>
      </c>
      <c r="K92" s="35"/>
      <c r="L92" s="38">
        <v>3080</v>
      </c>
      <c r="M92" s="38">
        <v>753.118694</v>
      </c>
      <c r="N92" s="38">
        <v>3400</v>
      </c>
      <c r="O92" s="37">
        <v>29.655913978494624</v>
      </c>
      <c r="P92" s="37">
        <f t="shared" si="12"/>
        <v>2.4301099647058826</v>
      </c>
      <c r="Q92" s="37">
        <f t="shared" si="13"/>
        <v>1.4509174311926605</v>
      </c>
      <c r="R92" s="16"/>
      <c r="S92" s="16"/>
      <c r="T92" s="16"/>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row>
    <row r="93" spans="2:45" x14ac:dyDescent="0.3">
      <c r="B93" s="41">
        <v>42736</v>
      </c>
      <c r="C93" s="34">
        <f t="shared" si="10"/>
        <v>30.475507091350678</v>
      </c>
      <c r="D93" s="34">
        <f t="shared" si="11"/>
        <v>33.7112664324072</v>
      </c>
      <c r="E93" s="35"/>
      <c r="F93" s="36">
        <v>3600</v>
      </c>
      <c r="G93" s="36">
        <v>1850</v>
      </c>
      <c r="H93" s="34">
        <f t="shared" si="7"/>
        <v>16.588566073102154</v>
      </c>
      <c r="I93" s="34">
        <f t="shared" si="8"/>
        <v>0.6406723615321025</v>
      </c>
      <c r="J93" s="34">
        <f t="shared" si="9"/>
        <v>13.246268656716419</v>
      </c>
      <c r="K93" s="35"/>
      <c r="L93" s="36">
        <v>3080</v>
      </c>
      <c r="M93" s="36">
        <v>790.55211899999995</v>
      </c>
      <c r="N93" s="36">
        <v>3300</v>
      </c>
      <c r="O93" s="34">
        <v>29.655913978494624</v>
      </c>
      <c r="P93" s="34">
        <f t="shared" si="12"/>
        <v>2.650306582352941</v>
      </c>
      <c r="Q93" s="34">
        <f t="shared" si="13"/>
        <v>1.405045871559633</v>
      </c>
      <c r="R93" s="16"/>
      <c r="S93" s="16"/>
      <c r="T93" s="16"/>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row>
    <row r="94" spans="2:45" x14ac:dyDescent="0.3">
      <c r="B94" s="42">
        <v>42767</v>
      </c>
      <c r="C94" s="37">
        <f t="shared" si="10"/>
        <v>28.267463498682538</v>
      </c>
      <c r="D94" s="37">
        <f t="shared" si="11"/>
        <v>32.275608595297946</v>
      </c>
      <c r="E94" s="35"/>
      <c r="F94" s="38">
        <v>3450</v>
      </c>
      <c r="G94" s="38">
        <v>1700</v>
      </c>
      <c r="H94" s="37">
        <f t="shared" si="7"/>
        <v>15.848665713017313</v>
      </c>
      <c r="I94" s="37">
        <f t="shared" si="8"/>
        <v>0.57178286029209147</v>
      </c>
      <c r="J94" s="37">
        <f t="shared" si="9"/>
        <v>11.847014925373134</v>
      </c>
      <c r="K94" s="35"/>
      <c r="L94" s="38">
        <v>2950</v>
      </c>
      <c r="M94" s="38">
        <v>795.82194300000003</v>
      </c>
      <c r="N94" s="38">
        <v>3150</v>
      </c>
      <c r="O94" s="37">
        <v>28.258064516129032</v>
      </c>
      <c r="P94" s="37">
        <f t="shared" si="12"/>
        <v>2.6813055470588236</v>
      </c>
      <c r="Q94" s="37">
        <f t="shared" si="13"/>
        <v>1.3362385321100918</v>
      </c>
      <c r="R94" s="16"/>
      <c r="S94" s="16"/>
      <c r="T94" s="16"/>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row>
    <row r="95" spans="2:45" x14ac:dyDescent="0.3">
      <c r="B95" s="41">
        <v>42795</v>
      </c>
      <c r="C95" s="34">
        <f t="shared" si="10"/>
        <v>27.7858540795457</v>
      </c>
      <c r="D95" s="34">
        <f t="shared" si="11"/>
        <v>32.083405247138316</v>
      </c>
      <c r="E95" s="35"/>
      <c r="F95" s="36">
        <v>3650</v>
      </c>
      <c r="G95" s="36">
        <v>1550</v>
      </c>
      <c r="H95" s="34">
        <f t="shared" si="7"/>
        <v>16.835199526463768</v>
      </c>
      <c r="I95" s="34">
        <f t="shared" si="8"/>
        <v>0.50289335905208044</v>
      </c>
      <c r="J95" s="34">
        <f t="shared" si="9"/>
        <v>10.447761194029852</v>
      </c>
      <c r="K95" s="35"/>
      <c r="L95" s="36">
        <v>2900</v>
      </c>
      <c r="M95" s="36">
        <v>838.948893</v>
      </c>
      <c r="N95" s="36">
        <v>3350</v>
      </c>
      <c r="O95" s="34">
        <v>27.72043010752688</v>
      </c>
      <c r="P95" s="34">
        <f t="shared" si="12"/>
        <v>2.9349934882352944</v>
      </c>
      <c r="Q95" s="34">
        <f t="shared" si="13"/>
        <v>1.4279816513761467</v>
      </c>
      <c r="R95" s="16"/>
      <c r="S95" s="16"/>
      <c r="T95" s="16"/>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row>
    <row r="96" spans="2:45" x14ac:dyDescent="0.3">
      <c r="B96" s="42">
        <v>42826</v>
      </c>
      <c r="C96" s="37">
        <f t="shared" si="10"/>
        <v>27.666423182060356</v>
      </c>
      <c r="D96" s="37">
        <f t="shared" si="11"/>
        <v>31.787843183150255</v>
      </c>
      <c r="E96" s="35"/>
      <c r="F96" s="38">
        <v>3725</v>
      </c>
      <c r="G96" s="38">
        <v>1500</v>
      </c>
      <c r="H96" s="37">
        <f t="shared" si="7"/>
        <v>17.205149706506191</v>
      </c>
      <c r="I96" s="37">
        <f t="shared" si="8"/>
        <v>0.47993019197207681</v>
      </c>
      <c r="J96" s="37">
        <f t="shared" si="9"/>
        <v>9.9813432835820901</v>
      </c>
      <c r="K96" s="35"/>
      <c r="L96" s="38">
        <v>2875</v>
      </c>
      <c r="M96" s="38">
        <v>828.55364299999997</v>
      </c>
      <c r="N96" s="38">
        <v>3425</v>
      </c>
      <c r="O96" s="37">
        <v>27.451612903225808</v>
      </c>
      <c r="P96" s="37">
        <f t="shared" si="12"/>
        <v>2.8738449588235291</v>
      </c>
      <c r="Q96" s="37">
        <f t="shared" si="13"/>
        <v>1.4623853211009175</v>
      </c>
      <c r="R96" s="16"/>
      <c r="S96" s="16"/>
      <c r="T96" s="16"/>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row>
    <row r="97" spans="2:45" x14ac:dyDescent="0.3">
      <c r="B97" s="41">
        <v>42856</v>
      </c>
      <c r="C97" s="34">
        <f t="shared" si="10"/>
        <v>30.992088973246684</v>
      </c>
      <c r="D97" s="34">
        <f t="shared" si="11"/>
        <v>33.295883109420934</v>
      </c>
      <c r="E97" s="35"/>
      <c r="F97" s="36">
        <v>4300</v>
      </c>
      <c r="G97" s="36">
        <v>1550</v>
      </c>
      <c r="H97" s="34">
        <f t="shared" si="7"/>
        <v>20.041434420164752</v>
      </c>
      <c r="I97" s="34">
        <f t="shared" si="8"/>
        <v>0.50289335905208044</v>
      </c>
      <c r="J97" s="34">
        <f t="shared" si="9"/>
        <v>10.447761194029852</v>
      </c>
      <c r="K97" s="35"/>
      <c r="L97" s="36">
        <v>2975</v>
      </c>
      <c r="M97" s="36">
        <v>857.28528200000005</v>
      </c>
      <c r="N97" s="36">
        <v>4000</v>
      </c>
      <c r="O97" s="34">
        <v>28.526881720430108</v>
      </c>
      <c r="P97" s="34">
        <f t="shared" si="12"/>
        <v>3.0428546000000005</v>
      </c>
      <c r="Q97" s="34">
        <f t="shared" si="13"/>
        <v>1.7261467889908257</v>
      </c>
      <c r="R97" s="16"/>
      <c r="S97" s="16"/>
      <c r="T97" s="16"/>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row>
    <row r="98" spans="2:45" x14ac:dyDescent="0.3">
      <c r="B98" s="42">
        <v>42887</v>
      </c>
      <c r="C98" s="37">
        <f t="shared" si="10"/>
        <v>36.406367459615801</v>
      </c>
      <c r="D98" s="37">
        <f t="shared" si="11"/>
        <v>36.915422822032276</v>
      </c>
      <c r="E98" s="35"/>
      <c r="F98" s="38">
        <v>5100</v>
      </c>
      <c r="G98" s="38">
        <v>1700</v>
      </c>
      <c r="H98" s="37">
        <f t="shared" si="7"/>
        <v>23.987569673950574</v>
      </c>
      <c r="I98" s="37">
        <f t="shared" si="8"/>
        <v>0.57178286029209147</v>
      </c>
      <c r="J98" s="37">
        <f t="shared" si="9"/>
        <v>11.847014925373134</v>
      </c>
      <c r="K98" s="35"/>
      <c r="L98" s="38">
        <v>3250</v>
      </c>
      <c r="M98" s="38">
        <v>907.5335399999999</v>
      </c>
      <c r="N98" s="38">
        <v>4800</v>
      </c>
      <c r="O98" s="37">
        <v>31.483870967741936</v>
      </c>
      <c r="P98" s="37">
        <f t="shared" si="12"/>
        <v>3.3384325882352934</v>
      </c>
      <c r="Q98" s="37">
        <f t="shared" si="13"/>
        <v>2.0931192660550457</v>
      </c>
      <c r="R98" s="16"/>
      <c r="S98" s="16"/>
      <c r="T98" s="16"/>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row>
    <row r="99" spans="2:45" x14ac:dyDescent="0.3">
      <c r="B99" s="41">
        <v>42917</v>
      </c>
      <c r="C99" s="34">
        <f t="shared" si="10"/>
        <v>36.71243075955794</v>
      </c>
      <c r="D99" s="34">
        <f t="shared" si="11"/>
        <v>37.137589192048345</v>
      </c>
      <c r="E99" s="35"/>
      <c r="F99" s="36">
        <v>5420</v>
      </c>
      <c r="G99" s="36">
        <v>1570</v>
      </c>
      <c r="H99" s="34">
        <f t="shared" si="7"/>
        <v>25.566023775464902</v>
      </c>
      <c r="I99" s="34">
        <f t="shared" si="8"/>
        <v>0.51207862588408193</v>
      </c>
      <c r="J99" s="34">
        <f t="shared" si="9"/>
        <v>10.634328358208956</v>
      </c>
      <c r="K99" s="35"/>
      <c r="L99" s="36">
        <v>3300</v>
      </c>
      <c r="M99" s="36">
        <v>828.9498450000001</v>
      </c>
      <c r="N99" s="36">
        <v>5120</v>
      </c>
      <c r="O99" s="34">
        <v>32.021505376344088</v>
      </c>
      <c r="P99" s="34">
        <f t="shared" si="12"/>
        <v>2.8761755588235296</v>
      </c>
      <c r="Q99" s="34">
        <f t="shared" si="13"/>
        <v>2.2399082568807338</v>
      </c>
      <c r="R99" s="16"/>
      <c r="S99" s="16"/>
      <c r="T99" s="16"/>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row>
    <row r="100" spans="2:45" x14ac:dyDescent="0.3">
      <c r="B100" s="42">
        <v>42948</v>
      </c>
      <c r="C100" s="37">
        <f t="shared" si="10"/>
        <v>40.1175267476264</v>
      </c>
      <c r="D100" s="37">
        <f t="shared" si="11"/>
        <v>38.698417216521882</v>
      </c>
      <c r="E100" s="35"/>
      <c r="F100" s="38">
        <v>6150</v>
      </c>
      <c r="G100" s="38">
        <v>1550</v>
      </c>
      <c r="H100" s="37">
        <f t="shared" si="7"/>
        <v>29.166872194544467</v>
      </c>
      <c r="I100" s="37">
        <f t="shared" si="8"/>
        <v>0.50289335905208044</v>
      </c>
      <c r="J100" s="37">
        <f t="shared" si="9"/>
        <v>10.447761194029852</v>
      </c>
      <c r="K100" s="35"/>
      <c r="L100" s="38">
        <v>3425</v>
      </c>
      <c r="M100" s="38">
        <v>808.86937999999998</v>
      </c>
      <c r="N100" s="38">
        <v>5850</v>
      </c>
      <c r="O100" s="37">
        <v>33.365591397849464</v>
      </c>
      <c r="P100" s="37">
        <f t="shared" si="12"/>
        <v>2.7580551764705881</v>
      </c>
      <c r="Q100" s="37">
        <f t="shared" si="13"/>
        <v>2.5747706422018348</v>
      </c>
      <c r="R100" s="16"/>
      <c r="S100" s="16"/>
      <c r="T100" s="16"/>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row>
    <row r="101" spans="2:45" x14ac:dyDescent="0.3">
      <c r="B101" s="41">
        <v>42979</v>
      </c>
      <c r="C101" s="34">
        <f t="shared" si="10"/>
        <v>39.872836208862516</v>
      </c>
      <c r="D101" s="34">
        <f t="shared" si="11"/>
        <v>38.484988185528842</v>
      </c>
      <c r="E101" s="35"/>
      <c r="F101" s="36">
        <v>6150</v>
      </c>
      <c r="G101" s="36">
        <v>1525</v>
      </c>
      <c r="H101" s="34">
        <f t="shared" si="7"/>
        <v>29.166872194544467</v>
      </c>
      <c r="I101" s="34">
        <f t="shared" si="8"/>
        <v>0.49141177551207865</v>
      </c>
      <c r="J101" s="34">
        <f t="shared" si="9"/>
        <v>10.21455223880597</v>
      </c>
      <c r="K101" s="35"/>
      <c r="L101" s="36">
        <v>3450</v>
      </c>
      <c r="M101" s="36">
        <v>726.88751999999999</v>
      </c>
      <c r="N101" s="36">
        <v>5850</v>
      </c>
      <c r="O101" s="34">
        <v>33.634408602150536</v>
      </c>
      <c r="P101" s="34">
        <f t="shared" si="12"/>
        <v>2.2758089411764706</v>
      </c>
      <c r="Q101" s="34">
        <f t="shared" si="13"/>
        <v>2.5747706422018348</v>
      </c>
      <c r="R101" s="16"/>
      <c r="S101" s="16"/>
      <c r="T101" s="16"/>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row>
    <row r="102" spans="2:45" x14ac:dyDescent="0.3">
      <c r="B102" s="42">
        <v>43009</v>
      </c>
      <c r="C102" s="37">
        <f t="shared" si="10"/>
        <v>32.734066463559827</v>
      </c>
      <c r="D102" s="37">
        <f t="shared" si="11"/>
        <v>36.605212529059528</v>
      </c>
      <c r="E102" s="35"/>
      <c r="F102" s="38">
        <v>5050</v>
      </c>
      <c r="G102" s="38">
        <v>1350</v>
      </c>
      <c r="H102" s="37">
        <f t="shared" si="7"/>
        <v>23.74093622058896</v>
      </c>
      <c r="I102" s="37">
        <f t="shared" si="8"/>
        <v>0.41104069073206578</v>
      </c>
      <c r="J102" s="37">
        <f t="shared" si="9"/>
        <v>8.5820895522388057</v>
      </c>
      <c r="K102" s="35"/>
      <c r="L102" s="38">
        <v>3365</v>
      </c>
      <c r="M102" s="38">
        <v>648.48181899999997</v>
      </c>
      <c r="N102" s="38">
        <v>4750</v>
      </c>
      <c r="O102" s="37">
        <v>32.72043010752688</v>
      </c>
      <c r="P102" s="37">
        <f t="shared" si="12"/>
        <v>1.8145989352941174</v>
      </c>
      <c r="Q102" s="37">
        <f t="shared" si="13"/>
        <v>2.0701834862385322</v>
      </c>
      <c r="R102" s="16"/>
      <c r="S102" s="16"/>
      <c r="T102" s="16"/>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row>
    <row r="103" spans="2:45" x14ac:dyDescent="0.3">
      <c r="B103" s="41">
        <v>43040</v>
      </c>
      <c r="C103" s="34">
        <f t="shared" si="10"/>
        <v>29.238088752537656</v>
      </c>
      <c r="D103" s="34">
        <f t="shared" si="11"/>
        <v>34.860941492697108</v>
      </c>
      <c r="E103" s="35"/>
      <c r="F103" s="36">
        <v>4500</v>
      </c>
      <c r="G103" s="36">
        <v>1270</v>
      </c>
      <c r="H103" s="34">
        <f t="shared" si="7"/>
        <v>21.027968233611208</v>
      </c>
      <c r="I103" s="34">
        <f t="shared" si="8"/>
        <v>0.37429962340405987</v>
      </c>
      <c r="J103" s="34">
        <f t="shared" si="9"/>
        <v>7.8358208955223878</v>
      </c>
      <c r="K103" s="35"/>
      <c r="L103" s="36">
        <v>3265</v>
      </c>
      <c r="M103" s="36">
        <v>577.64134999999999</v>
      </c>
      <c r="N103" s="36">
        <v>4200</v>
      </c>
      <c r="O103" s="34">
        <v>31.64516129032258</v>
      </c>
      <c r="P103" s="34">
        <f t="shared" si="12"/>
        <v>1.397890294117647</v>
      </c>
      <c r="Q103" s="34">
        <f t="shared" si="13"/>
        <v>1.8178899082568807</v>
      </c>
      <c r="R103" s="16"/>
      <c r="S103" s="16"/>
      <c r="T103" s="16"/>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row>
    <row r="104" spans="2:45" x14ac:dyDescent="0.3">
      <c r="B104" s="42">
        <v>43070</v>
      </c>
      <c r="C104" s="37">
        <f t="shared" si="10"/>
        <v>26.380249356899306</v>
      </c>
      <c r="D104" s="37">
        <f t="shared" si="11"/>
        <v>31.866863128940576</v>
      </c>
      <c r="E104" s="35"/>
      <c r="F104" s="38">
        <v>4000</v>
      </c>
      <c r="G104" s="38">
        <v>1230</v>
      </c>
      <c r="H104" s="37">
        <f t="shared" si="7"/>
        <v>18.561633699995067</v>
      </c>
      <c r="I104" s="37">
        <f t="shared" si="8"/>
        <v>0.35592908974005694</v>
      </c>
      <c r="J104" s="37">
        <f t="shared" si="9"/>
        <v>7.4626865671641793</v>
      </c>
      <c r="K104" s="35"/>
      <c r="L104" s="38">
        <v>3000</v>
      </c>
      <c r="M104" s="38">
        <v>592.04745600000001</v>
      </c>
      <c r="N104" s="38">
        <v>3700</v>
      </c>
      <c r="O104" s="37">
        <v>28.795698924731184</v>
      </c>
      <c r="P104" s="37">
        <f t="shared" si="12"/>
        <v>1.4826320941176472</v>
      </c>
      <c r="Q104" s="37">
        <f t="shared" si="13"/>
        <v>1.5885321100917431</v>
      </c>
      <c r="R104" s="16"/>
      <c r="S104" s="16"/>
      <c r="T104" s="16"/>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row>
    <row r="105" spans="2:45" x14ac:dyDescent="0.3">
      <c r="B105" s="41">
        <v>43101</v>
      </c>
      <c r="C105" s="34">
        <f t="shared" si="10"/>
        <v>24.018008365501458</v>
      </c>
      <c r="D105" s="34">
        <f t="shared" si="11"/>
        <v>30.101141976852418</v>
      </c>
      <c r="E105" s="35"/>
      <c r="F105" s="36">
        <v>3660</v>
      </c>
      <c r="G105" s="36">
        <v>1160</v>
      </c>
      <c r="H105" s="34">
        <f t="shared" si="7"/>
        <v>16.884526217136091</v>
      </c>
      <c r="I105" s="34">
        <f t="shared" si="8"/>
        <v>0.32378065582805182</v>
      </c>
      <c r="J105" s="34">
        <f t="shared" si="9"/>
        <v>6.8097014925373136</v>
      </c>
      <c r="K105" s="35"/>
      <c r="L105" s="36">
        <v>2850</v>
      </c>
      <c r="M105" s="36">
        <v>592.58217000000002</v>
      </c>
      <c r="N105" s="36">
        <v>3360</v>
      </c>
      <c r="O105" s="34">
        <v>27.182795698924732</v>
      </c>
      <c r="P105" s="34">
        <f t="shared" si="12"/>
        <v>1.4857774705882354</v>
      </c>
      <c r="Q105" s="34">
        <f t="shared" si="13"/>
        <v>1.4325688073394496</v>
      </c>
      <c r="R105" s="16"/>
      <c r="S105" s="16"/>
      <c r="T105" s="16"/>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row>
    <row r="106" spans="2:45" x14ac:dyDescent="0.3">
      <c r="B106" s="42">
        <v>43132</v>
      </c>
      <c r="C106" s="37">
        <f t="shared" si="10"/>
        <v>26.88128792201346</v>
      </c>
      <c r="D106" s="37">
        <f t="shared" si="11"/>
        <v>31.302838041995251</v>
      </c>
      <c r="E106" s="35"/>
      <c r="F106" s="38">
        <v>4300</v>
      </c>
      <c r="G106" s="38">
        <v>1130</v>
      </c>
      <c r="H106" s="37">
        <f t="shared" si="7"/>
        <v>20.041434420164752</v>
      </c>
      <c r="I106" s="37">
        <f t="shared" si="8"/>
        <v>0.31000275558004958</v>
      </c>
      <c r="J106" s="37">
        <f t="shared" si="9"/>
        <v>6.5298507462686564</v>
      </c>
      <c r="K106" s="35"/>
      <c r="L106" s="38">
        <v>2925</v>
      </c>
      <c r="M106" s="38">
        <v>609.86546999999996</v>
      </c>
      <c r="N106" s="38">
        <v>4000</v>
      </c>
      <c r="O106" s="37">
        <v>27.989247311827956</v>
      </c>
      <c r="P106" s="37">
        <f t="shared" si="12"/>
        <v>1.5874439411764703</v>
      </c>
      <c r="Q106" s="37">
        <f t="shared" si="13"/>
        <v>1.7261467889908257</v>
      </c>
      <c r="R106" s="16"/>
      <c r="S106" s="16"/>
      <c r="T106" s="16"/>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row>
    <row r="107" spans="2:45" x14ac:dyDescent="0.3">
      <c r="B107" s="41">
        <v>43160</v>
      </c>
      <c r="C107" s="34">
        <f t="shared" si="10"/>
        <v>26.682426827645983</v>
      </c>
      <c r="D107" s="34">
        <f t="shared" si="11"/>
        <v>31.049760237046577</v>
      </c>
      <c r="E107" s="35"/>
      <c r="F107" s="36">
        <v>4220</v>
      </c>
      <c r="G107" s="36">
        <v>1150</v>
      </c>
      <c r="H107" s="34">
        <f t="shared" si="7"/>
        <v>19.64682089478617</v>
      </c>
      <c r="I107" s="34">
        <f t="shared" si="8"/>
        <v>0.31918802241205108</v>
      </c>
      <c r="J107" s="34">
        <f t="shared" si="9"/>
        <v>6.7164179104477615</v>
      </c>
      <c r="K107" s="35"/>
      <c r="L107" s="36">
        <v>2900</v>
      </c>
      <c r="M107" s="36">
        <v>618.77969999999993</v>
      </c>
      <c r="N107" s="36">
        <v>3920</v>
      </c>
      <c r="O107" s="34">
        <v>27.72043010752688</v>
      </c>
      <c r="P107" s="34">
        <f t="shared" si="12"/>
        <v>1.6398805882352938</v>
      </c>
      <c r="Q107" s="34">
        <f t="shared" si="13"/>
        <v>1.6894495412844037</v>
      </c>
      <c r="R107" s="16"/>
      <c r="S107" s="16"/>
      <c r="T107" s="16"/>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row>
    <row r="108" spans="2:45" x14ac:dyDescent="0.3">
      <c r="B108" s="42">
        <v>43191</v>
      </c>
      <c r="C108" s="37">
        <f>H108+I108+J108</f>
        <v>28.901739324980959</v>
      </c>
      <c r="D108" s="37">
        <f t="shared" si="11"/>
        <v>31.38103890404923</v>
      </c>
      <c r="E108" s="35"/>
      <c r="F108" s="38">
        <v>4660</v>
      </c>
      <c r="G108" s="38">
        <v>1155</v>
      </c>
      <c r="H108" s="37">
        <f t="shared" si="7"/>
        <v>21.817195284368371</v>
      </c>
      <c r="I108" s="37">
        <f t="shared" si="8"/>
        <v>0.32148433912005142</v>
      </c>
      <c r="J108" s="37">
        <f t="shared" si="9"/>
        <v>6.7630597014925371</v>
      </c>
      <c r="K108" s="35"/>
      <c r="L108" s="38">
        <v>2920</v>
      </c>
      <c r="M108" s="38">
        <v>604.22600699999998</v>
      </c>
      <c r="N108" s="38">
        <v>4360</v>
      </c>
      <c r="O108" s="37">
        <v>27.93548387096774</v>
      </c>
      <c r="P108" s="37">
        <f t="shared" si="12"/>
        <v>1.5542706294117647</v>
      </c>
      <c r="Q108" s="37">
        <f t="shared" si="13"/>
        <v>1.8912844036697247</v>
      </c>
      <c r="R108" s="16"/>
      <c r="S108" s="16"/>
      <c r="T108" s="16"/>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row>
    <row r="109" spans="2:45" x14ac:dyDescent="0.3">
      <c r="B109" s="41">
        <v>43221</v>
      </c>
      <c r="C109" s="34">
        <f t="shared" si="10"/>
        <v>33.081684795783367</v>
      </c>
      <c r="D109" s="34">
        <f t="shared" si="11"/>
        <v>32.326630793331361</v>
      </c>
      <c r="E109" s="35"/>
      <c r="F109" s="36">
        <v>5180</v>
      </c>
      <c r="G109" s="36">
        <v>1320</v>
      </c>
      <c r="H109" s="34">
        <f t="shared" si="7"/>
        <v>24.382183199329155</v>
      </c>
      <c r="I109" s="34">
        <f t="shared" si="8"/>
        <v>0.39726279048406354</v>
      </c>
      <c r="J109" s="34">
        <f t="shared" si="9"/>
        <v>8.3022388059701484</v>
      </c>
      <c r="K109" s="35"/>
      <c r="L109" s="36">
        <v>2970</v>
      </c>
      <c r="M109" s="36">
        <v>633.02832000000001</v>
      </c>
      <c r="N109" s="36">
        <v>4880</v>
      </c>
      <c r="O109" s="34">
        <v>28.473118279569892</v>
      </c>
      <c r="P109" s="34">
        <f t="shared" si="12"/>
        <v>1.7236960000000001</v>
      </c>
      <c r="Q109" s="34">
        <f t="shared" si="13"/>
        <v>2.129816513761468</v>
      </c>
      <c r="R109" s="16"/>
      <c r="S109" s="16"/>
      <c r="T109" s="16"/>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row>
    <row r="110" spans="2:45" x14ac:dyDescent="0.3">
      <c r="B110" s="42">
        <v>43252</v>
      </c>
      <c r="C110" s="37">
        <f t="shared" si="10"/>
        <v>33.226556204443973</v>
      </c>
      <c r="D110" s="37">
        <f t="shared" si="11"/>
        <v>32.77453848220555</v>
      </c>
      <c r="E110" s="35"/>
      <c r="F110" s="38">
        <v>5130</v>
      </c>
      <c r="G110" s="38">
        <v>1360</v>
      </c>
      <c r="H110" s="37">
        <f t="shared" si="7"/>
        <v>24.135549745967545</v>
      </c>
      <c r="I110" s="37">
        <f t="shared" si="8"/>
        <v>0.41563332414806647</v>
      </c>
      <c r="J110" s="37">
        <f t="shared" si="9"/>
        <v>8.6753731343283587</v>
      </c>
      <c r="K110" s="35"/>
      <c r="L110" s="38">
        <v>3000</v>
      </c>
      <c r="M110" s="38">
        <v>658.23299999999995</v>
      </c>
      <c r="N110" s="38">
        <v>4830</v>
      </c>
      <c r="O110" s="37">
        <v>28.795698924731184</v>
      </c>
      <c r="P110" s="37">
        <f t="shared" si="12"/>
        <v>1.8719588235294116</v>
      </c>
      <c r="Q110" s="37">
        <f t="shared" si="13"/>
        <v>2.106880733944954</v>
      </c>
      <c r="R110" s="16"/>
      <c r="S110" s="16"/>
      <c r="T110" s="16"/>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row>
    <row r="111" spans="2:45" x14ac:dyDescent="0.3">
      <c r="B111" s="41">
        <v>43282</v>
      </c>
      <c r="C111" s="34">
        <f t="shared" si="10"/>
        <v>31.797636506624794</v>
      </c>
      <c r="D111" s="34">
        <f t="shared" si="11"/>
        <v>33.37016899172513</v>
      </c>
      <c r="E111" s="35"/>
      <c r="F111" s="36">
        <v>4880</v>
      </c>
      <c r="G111" s="36">
        <v>1340</v>
      </c>
      <c r="H111" s="34">
        <f t="shared" si="7"/>
        <v>22.902382479159474</v>
      </c>
      <c r="I111" s="34">
        <f t="shared" si="8"/>
        <v>0.40644805731606504</v>
      </c>
      <c r="J111" s="34">
        <f t="shared" si="9"/>
        <v>8.4888059701492544</v>
      </c>
      <c r="K111" s="35"/>
      <c r="L111" s="36">
        <v>3050</v>
      </c>
      <c r="M111" s="36">
        <v>687.58775000000003</v>
      </c>
      <c r="N111" s="36">
        <v>4580</v>
      </c>
      <c r="O111" s="34">
        <v>29.333333333333332</v>
      </c>
      <c r="P111" s="34">
        <f t="shared" si="12"/>
        <v>2.0446338235294119</v>
      </c>
      <c r="Q111" s="34">
        <f t="shared" si="13"/>
        <v>1.9922018348623853</v>
      </c>
      <c r="R111" s="16"/>
      <c r="S111" s="16"/>
      <c r="T111" s="16"/>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row>
    <row r="112" spans="2:45" x14ac:dyDescent="0.3">
      <c r="B112" s="42">
        <v>43313</v>
      </c>
      <c r="C112" s="37">
        <f t="shared" si="10"/>
        <v>33.175675182093457</v>
      </c>
      <c r="D112" s="37">
        <f t="shared" si="11"/>
        <v>33.619409101187259</v>
      </c>
      <c r="E112" s="35"/>
      <c r="F112" s="38">
        <v>5080</v>
      </c>
      <c r="G112" s="38">
        <v>1380</v>
      </c>
      <c r="H112" s="37">
        <f t="shared" si="7"/>
        <v>23.888916292605931</v>
      </c>
      <c r="I112" s="37">
        <f t="shared" si="8"/>
        <v>0.42481859098006797</v>
      </c>
      <c r="J112" s="37">
        <f t="shared" si="9"/>
        <v>8.8619402985074629</v>
      </c>
      <c r="K112" s="35"/>
      <c r="L112" s="38">
        <v>3050</v>
      </c>
      <c r="M112" s="38">
        <v>714.36223833333304</v>
      </c>
      <c r="N112" s="38">
        <v>4780</v>
      </c>
      <c r="O112" s="37">
        <v>29.333333333333332</v>
      </c>
      <c r="P112" s="37">
        <f t="shared" si="12"/>
        <v>2.2021308137254882</v>
      </c>
      <c r="Q112" s="37">
        <f t="shared" si="13"/>
        <v>2.0839449541284405</v>
      </c>
      <c r="R112" s="16"/>
      <c r="S112" s="16"/>
      <c r="T112" s="16"/>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row>
    <row r="113" spans="2:46" x14ac:dyDescent="0.3">
      <c r="B113" s="41">
        <v>43344</v>
      </c>
      <c r="C113" s="34">
        <f t="shared" si="10"/>
        <v>31.841523036423464</v>
      </c>
      <c r="D113" s="34">
        <f t="shared" si="11"/>
        <v>33.631101611261016</v>
      </c>
      <c r="E113" s="35"/>
      <c r="F113" s="36">
        <v>4750</v>
      </c>
      <c r="G113" s="36">
        <v>1410</v>
      </c>
      <c r="H113" s="34">
        <f t="shared" si="7"/>
        <v>22.261135500419275</v>
      </c>
      <c r="I113" s="34">
        <f t="shared" si="8"/>
        <v>0.43859649122807015</v>
      </c>
      <c r="J113" s="34">
        <f t="shared" si="9"/>
        <v>9.1417910447761201</v>
      </c>
      <c r="K113" s="35"/>
      <c r="L113" s="36">
        <v>3050</v>
      </c>
      <c r="M113" s="36">
        <v>742.08391000000006</v>
      </c>
      <c r="N113" s="36">
        <v>4450</v>
      </c>
      <c r="O113" s="34">
        <v>29.333333333333332</v>
      </c>
      <c r="P113" s="34">
        <f t="shared" si="12"/>
        <v>2.3651994705882355</v>
      </c>
      <c r="Q113" s="34">
        <f t="shared" si="13"/>
        <v>1.9325688073394496</v>
      </c>
      <c r="R113" s="16"/>
      <c r="S113" s="16"/>
      <c r="T113" s="16"/>
      <c r="U113" s="16"/>
      <c r="V113" s="16"/>
      <c r="W113" s="16"/>
      <c r="X113" s="16"/>
      <c r="Y113" s="16"/>
      <c r="Z113" s="16"/>
      <c r="AA113" s="16"/>
      <c r="AB113" s="16"/>
      <c r="AC113" s="16"/>
      <c r="AD113" s="16"/>
      <c r="AE113" s="16"/>
      <c r="AF113" s="16"/>
      <c r="AG113" s="16"/>
      <c r="AH113" s="16"/>
      <c r="AI113" s="16"/>
      <c r="AJ113" s="16"/>
      <c r="AK113" s="16"/>
      <c r="AL113" s="16"/>
      <c r="AM113" s="16"/>
      <c r="AN113" s="16"/>
      <c r="AO113" s="16"/>
      <c r="AP113" s="16"/>
      <c r="AQ113" s="16"/>
      <c r="AR113" s="16"/>
      <c r="AS113" s="16"/>
    </row>
    <row r="114" spans="2:46" x14ac:dyDescent="0.3">
      <c r="B114" s="42">
        <v>43374</v>
      </c>
      <c r="C114" s="37">
        <f t="shared" si="10"/>
        <v>28.341659496205825</v>
      </c>
      <c r="D114" s="37">
        <f t="shared" si="11"/>
        <v>32.664358882691246</v>
      </c>
      <c r="E114" s="35"/>
      <c r="F114" s="38">
        <v>4100</v>
      </c>
      <c r="G114" s="38">
        <v>1380</v>
      </c>
      <c r="H114" s="37">
        <f t="shared" si="7"/>
        <v>19.054900606718295</v>
      </c>
      <c r="I114" s="37">
        <f t="shared" si="8"/>
        <v>0.42481859098006797</v>
      </c>
      <c r="J114" s="37">
        <f t="shared" si="9"/>
        <v>8.8619402985074629</v>
      </c>
      <c r="K114" s="35"/>
      <c r="L114" s="38">
        <v>3000</v>
      </c>
      <c r="M114" s="38">
        <v>719.82356900000002</v>
      </c>
      <c r="N114" s="38">
        <v>3800</v>
      </c>
      <c r="O114" s="37">
        <v>28.795698924731184</v>
      </c>
      <c r="P114" s="37">
        <f t="shared" si="12"/>
        <v>2.2342562882352941</v>
      </c>
      <c r="Q114" s="37">
        <f t="shared" si="13"/>
        <v>1.6344036697247706</v>
      </c>
      <c r="R114" s="16"/>
      <c r="S114" s="16"/>
      <c r="T114" s="16"/>
      <c r="U114" s="16"/>
      <c r="V114" s="16"/>
      <c r="W114" s="16"/>
      <c r="X114" s="16"/>
      <c r="Y114" s="16"/>
      <c r="Z114" s="16"/>
      <c r="AA114" s="16"/>
      <c r="AB114" s="16"/>
      <c r="AC114" s="16"/>
      <c r="AD114" s="16"/>
      <c r="AE114" s="16"/>
      <c r="AF114" s="16"/>
      <c r="AG114" s="16"/>
      <c r="AH114" s="16"/>
      <c r="AI114" s="16"/>
      <c r="AJ114" s="16"/>
      <c r="AK114" s="16"/>
      <c r="AL114" s="16"/>
      <c r="AM114" s="16"/>
      <c r="AN114" s="16"/>
      <c r="AO114" s="16"/>
      <c r="AP114" s="16"/>
      <c r="AQ114" s="16"/>
      <c r="AR114" s="16"/>
      <c r="AS114" s="16"/>
    </row>
    <row r="115" spans="2:46" x14ac:dyDescent="0.3">
      <c r="B115" s="41">
        <v>43405</v>
      </c>
      <c r="C115" s="34">
        <f t="shared" si="10"/>
        <v>27.006730184696739</v>
      </c>
      <c r="D115" s="34">
        <f t="shared" si="11"/>
        <v>31.061076026948452</v>
      </c>
      <c r="E115" s="35"/>
      <c r="F115" s="36">
        <v>3750</v>
      </c>
      <c r="G115" s="36">
        <v>1420</v>
      </c>
      <c r="H115" s="34">
        <f t="shared" si="7"/>
        <v>17.328466433186996</v>
      </c>
      <c r="I115" s="34">
        <f t="shared" si="8"/>
        <v>0.4431891246440709</v>
      </c>
      <c r="J115" s="34">
        <f t="shared" si="9"/>
        <v>9.2350746268656714</v>
      </c>
      <c r="K115" s="35"/>
      <c r="L115" s="36">
        <v>2860</v>
      </c>
      <c r="M115" s="36">
        <v>730.47303999999997</v>
      </c>
      <c r="N115" s="36">
        <v>3450</v>
      </c>
      <c r="O115" s="34">
        <v>27.29032258064516</v>
      </c>
      <c r="P115" s="34">
        <f t="shared" si="12"/>
        <v>2.2969002352941175</v>
      </c>
      <c r="Q115" s="34">
        <f t="shared" si="13"/>
        <v>1.4738532110091742</v>
      </c>
      <c r="R115" s="16"/>
      <c r="S115" s="16"/>
      <c r="T115" s="16"/>
      <c r="U115" s="16"/>
      <c r="V115" s="16"/>
      <c r="W115" s="16"/>
      <c r="X115" s="16"/>
      <c r="Y115" s="16"/>
      <c r="Z115" s="16"/>
      <c r="AA115" s="16"/>
      <c r="AB115" s="16"/>
      <c r="AC115" s="16"/>
      <c r="AD115" s="16"/>
      <c r="AE115" s="16"/>
      <c r="AF115" s="16"/>
      <c r="AG115" s="16"/>
      <c r="AH115" s="16"/>
      <c r="AI115" s="16"/>
      <c r="AJ115" s="16"/>
      <c r="AK115" s="16"/>
      <c r="AL115" s="16"/>
      <c r="AM115" s="16"/>
      <c r="AN115" s="16"/>
      <c r="AO115" s="16"/>
      <c r="AP115" s="16"/>
      <c r="AQ115" s="16"/>
      <c r="AR115" s="16"/>
      <c r="AS115" s="16"/>
    </row>
    <row r="116" spans="2:46" x14ac:dyDescent="0.3">
      <c r="B116" s="42">
        <v>43435</v>
      </c>
      <c r="C116" s="37">
        <f t="shared" si="10"/>
        <v>27.444453074034904</v>
      </c>
      <c r="D116" s="37">
        <f t="shared" si="11"/>
        <v>31.04272128877902</v>
      </c>
      <c r="E116" s="35"/>
      <c r="F116" s="38">
        <v>3680</v>
      </c>
      <c r="G116" s="38">
        <v>1500</v>
      </c>
      <c r="H116" s="37">
        <f t="shared" si="7"/>
        <v>16.983179598480739</v>
      </c>
      <c r="I116" s="37">
        <f t="shared" si="8"/>
        <v>0.47993019197207681</v>
      </c>
      <c r="J116" s="37">
        <f t="shared" si="9"/>
        <v>9.9813432835820901</v>
      </c>
      <c r="K116" s="35"/>
      <c r="L116" s="38">
        <v>2850</v>
      </c>
      <c r="M116" s="38">
        <v>751.09102000000007</v>
      </c>
      <c r="N116" s="38">
        <v>3380</v>
      </c>
      <c r="O116" s="37">
        <v>27.182795698924732</v>
      </c>
      <c r="P116" s="37">
        <f t="shared" si="12"/>
        <v>2.4181824705882358</v>
      </c>
      <c r="Q116" s="37">
        <f t="shared" si="13"/>
        <v>1.441743119266055</v>
      </c>
      <c r="R116" s="16"/>
      <c r="S116" s="16"/>
      <c r="T116" s="16"/>
      <c r="U116" s="16"/>
      <c r="V116" s="16"/>
      <c r="W116" s="16"/>
      <c r="X116" s="16"/>
      <c r="Y116" s="16"/>
      <c r="Z116" s="16"/>
      <c r="AA116" s="16"/>
      <c r="AB116" s="16"/>
      <c r="AC116" s="16"/>
      <c r="AD116" s="16"/>
      <c r="AE116" s="16"/>
      <c r="AF116" s="16"/>
      <c r="AG116" s="16"/>
      <c r="AH116" s="16"/>
      <c r="AI116" s="16"/>
      <c r="AJ116" s="16"/>
      <c r="AK116" s="16"/>
      <c r="AL116" s="16"/>
      <c r="AM116" s="16"/>
      <c r="AN116" s="16"/>
      <c r="AO116" s="16"/>
      <c r="AP116" s="16"/>
      <c r="AQ116" s="16"/>
      <c r="AR116" s="16"/>
      <c r="AS116" s="16"/>
    </row>
    <row r="117" spans="2:46" x14ac:dyDescent="0.3">
      <c r="B117" s="41">
        <v>43466</v>
      </c>
      <c r="C117" s="34">
        <f t="shared" si="10"/>
        <v>30.193535932420406</v>
      </c>
      <c r="D117" s="34">
        <f t="shared" si="11"/>
        <v>31.583415894544736</v>
      </c>
      <c r="E117" s="35"/>
      <c r="F117" s="36">
        <v>3900</v>
      </c>
      <c r="G117" s="36">
        <v>1670</v>
      </c>
      <c r="H117" s="34">
        <f t="shared" si="7"/>
        <v>18.068366793271839</v>
      </c>
      <c r="I117" s="34">
        <f t="shared" si="8"/>
        <v>0.55800496004408928</v>
      </c>
      <c r="J117" s="34">
        <f t="shared" si="9"/>
        <v>11.567164179104477</v>
      </c>
      <c r="K117" s="35"/>
      <c r="L117" s="36">
        <v>2880</v>
      </c>
      <c r="M117" s="36">
        <v>771.01443000000006</v>
      </c>
      <c r="N117" s="36">
        <v>3600</v>
      </c>
      <c r="O117" s="34">
        <v>27.50537634408602</v>
      </c>
      <c r="P117" s="34">
        <f t="shared" si="12"/>
        <v>2.5353790000000003</v>
      </c>
      <c r="Q117" s="34">
        <f t="shared" si="13"/>
        <v>1.5426605504587156</v>
      </c>
      <c r="R117" s="16"/>
      <c r="S117" s="16"/>
      <c r="T117" s="16"/>
      <c r="U117" s="16"/>
      <c r="V117" s="16"/>
      <c r="W117" s="16"/>
      <c r="X117" s="16"/>
      <c r="Y117" s="16"/>
      <c r="Z117" s="16"/>
      <c r="AA117" s="16"/>
      <c r="AB117" s="16"/>
      <c r="AC117" s="16"/>
      <c r="AD117" s="16"/>
      <c r="AE117" s="16"/>
      <c r="AF117" s="16"/>
      <c r="AG117" s="16"/>
      <c r="AH117" s="16"/>
      <c r="AI117" s="16"/>
      <c r="AJ117" s="16"/>
      <c r="AK117" s="16"/>
      <c r="AL117" s="16"/>
      <c r="AM117" s="16"/>
      <c r="AN117" s="16"/>
      <c r="AO117" s="16"/>
      <c r="AP117" s="16"/>
      <c r="AQ117" s="16"/>
      <c r="AR117" s="16"/>
      <c r="AS117" s="16"/>
    </row>
    <row r="118" spans="2:46" x14ac:dyDescent="0.3">
      <c r="B118" s="42">
        <v>43497</v>
      </c>
      <c r="C118" s="37">
        <f t="shared" si="10"/>
        <v>29.304101168640408</v>
      </c>
      <c r="D118" s="37">
        <f t="shared" si="11"/>
        <v>31.416821228057955</v>
      </c>
      <c r="E118" s="35"/>
      <c r="F118" s="38">
        <v>3680</v>
      </c>
      <c r="G118" s="38">
        <v>1690</v>
      </c>
      <c r="H118" s="37">
        <f t="shared" si="7"/>
        <v>16.983179598480739</v>
      </c>
      <c r="I118" s="37">
        <f t="shared" si="8"/>
        <v>0.56719022687609078</v>
      </c>
      <c r="J118" s="37">
        <f t="shared" si="9"/>
        <v>11.753731343283581</v>
      </c>
      <c r="K118" s="35"/>
      <c r="L118" s="38">
        <v>2880</v>
      </c>
      <c r="M118" s="38">
        <v>759.84929999999997</v>
      </c>
      <c r="N118" s="38">
        <v>3380</v>
      </c>
      <c r="O118" s="37">
        <v>27.50537634408602</v>
      </c>
      <c r="P118" s="37">
        <f t="shared" si="12"/>
        <v>2.4697017647058823</v>
      </c>
      <c r="Q118" s="37">
        <f t="shared" si="13"/>
        <v>1.441743119266055</v>
      </c>
      <c r="R118" s="16"/>
      <c r="S118" s="16"/>
      <c r="T118" s="16"/>
      <c r="U118" s="16"/>
      <c r="V118" s="16"/>
      <c r="W118" s="16"/>
      <c r="X118" s="16"/>
      <c r="Y118" s="16"/>
      <c r="Z118" s="16"/>
      <c r="AA118" s="16"/>
      <c r="AB118" s="16"/>
      <c r="AC118" s="16"/>
      <c r="AD118" s="16"/>
      <c r="AE118" s="16"/>
      <c r="AF118" s="16"/>
      <c r="AG118" s="16"/>
      <c r="AH118" s="16"/>
      <c r="AI118" s="16"/>
      <c r="AJ118" s="16"/>
      <c r="AK118" s="16"/>
      <c r="AL118" s="16"/>
      <c r="AM118" s="16"/>
      <c r="AN118" s="16"/>
      <c r="AO118" s="16"/>
      <c r="AP118" s="16"/>
      <c r="AQ118" s="16"/>
      <c r="AR118" s="16"/>
      <c r="AS118" s="16"/>
    </row>
    <row r="119" spans="2:46" x14ac:dyDescent="0.3">
      <c r="B119" s="41">
        <v>43525</v>
      </c>
      <c r="C119" s="34">
        <f t="shared" si="10"/>
        <v>28.269794996199817</v>
      </c>
      <c r="D119" s="34">
        <f t="shared" si="11"/>
        <v>30.80860322627068</v>
      </c>
      <c r="E119" s="35"/>
      <c r="F119" s="36">
        <v>3510</v>
      </c>
      <c r="G119" s="36">
        <v>1670</v>
      </c>
      <c r="H119" s="34">
        <f t="shared" si="7"/>
        <v>16.144625857051249</v>
      </c>
      <c r="I119" s="34">
        <f t="shared" si="8"/>
        <v>0.55800496004408928</v>
      </c>
      <c r="J119" s="34">
        <f t="shared" si="9"/>
        <v>11.567164179104477</v>
      </c>
      <c r="K119" s="35"/>
      <c r="L119" s="36">
        <v>2840</v>
      </c>
      <c r="M119" s="36">
        <v>742.82740000000001</v>
      </c>
      <c r="N119" s="36">
        <v>3210</v>
      </c>
      <c r="O119" s="34">
        <v>27.0752688172043</v>
      </c>
      <c r="P119" s="34">
        <f t="shared" si="12"/>
        <v>2.3695729411764703</v>
      </c>
      <c r="Q119" s="34">
        <f t="shared" si="13"/>
        <v>1.3637614678899082</v>
      </c>
      <c r="R119" s="16"/>
      <c r="S119" s="16"/>
      <c r="T119" s="16"/>
      <c r="U119" s="16"/>
      <c r="V119" s="16"/>
      <c r="W119" s="16"/>
      <c r="X119" s="16"/>
      <c r="Y119" s="16"/>
      <c r="Z119" s="16"/>
      <c r="AA119" s="16"/>
      <c r="AB119" s="16"/>
      <c r="AC119" s="16"/>
      <c r="AD119" s="16"/>
      <c r="AE119" s="16"/>
      <c r="AF119" s="16"/>
      <c r="AG119" s="16"/>
      <c r="AH119" s="16"/>
      <c r="AI119" s="16"/>
      <c r="AJ119" s="16"/>
      <c r="AK119" s="16"/>
      <c r="AL119" s="16"/>
      <c r="AM119" s="16"/>
      <c r="AN119" s="16"/>
      <c r="AO119" s="16"/>
      <c r="AP119" s="16"/>
      <c r="AQ119" s="16"/>
      <c r="AR119" s="16"/>
      <c r="AS119" s="16"/>
    </row>
    <row r="120" spans="2:46" x14ac:dyDescent="0.3">
      <c r="B120" s="42">
        <v>43556</v>
      </c>
      <c r="C120" s="37">
        <f t="shared" si="10"/>
        <v>27.827409111827095</v>
      </c>
      <c r="D120" s="37">
        <f t="shared" si="11"/>
        <v>30.555551623557268</v>
      </c>
      <c r="E120" s="35"/>
      <c r="F120" s="38">
        <v>3460</v>
      </c>
      <c r="G120" s="38">
        <v>1650</v>
      </c>
      <c r="H120" s="37">
        <f t="shared" si="7"/>
        <v>15.897992403689637</v>
      </c>
      <c r="I120" s="37">
        <f t="shared" si="8"/>
        <v>0.54881969321208779</v>
      </c>
      <c r="J120" s="37">
        <f t="shared" si="9"/>
        <v>11.380597014925373</v>
      </c>
      <c r="K120" s="35"/>
      <c r="L120" s="38">
        <v>2830</v>
      </c>
      <c r="M120" s="38">
        <v>721.98727999999994</v>
      </c>
      <c r="N120" s="38">
        <v>3160</v>
      </c>
      <c r="O120" s="37">
        <v>26.967741935483872</v>
      </c>
      <c r="P120" s="37">
        <f t="shared" si="12"/>
        <v>2.2469839999999999</v>
      </c>
      <c r="Q120" s="37">
        <f t="shared" si="13"/>
        <v>1.3408256880733944</v>
      </c>
      <c r="R120" s="16"/>
      <c r="S120" s="16"/>
      <c r="T120" s="16"/>
      <c r="U120" s="16"/>
      <c r="V120" s="16"/>
      <c r="W120" s="16"/>
      <c r="X120" s="16"/>
      <c r="Y120" s="16"/>
      <c r="Z120" s="16"/>
      <c r="AA120" s="16"/>
      <c r="AB120" s="16"/>
      <c r="AC120" s="16"/>
      <c r="AD120" s="16"/>
      <c r="AE120" s="16"/>
      <c r="AF120" s="16"/>
      <c r="AG120" s="16"/>
      <c r="AH120" s="16"/>
      <c r="AI120" s="16"/>
      <c r="AJ120" s="16"/>
      <c r="AK120" s="16"/>
      <c r="AL120" s="16"/>
      <c r="AM120" s="16"/>
      <c r="AN120" s="16"/>
      <c r="AO120" s="16"/>
      <c r="AP120" s="16"/>
      <c r="AQ120" s="16"/>
      <c r="AR120" s="16"/>
      <c r="AS120" s="16"/>
    </row>
    <row r="121" spans="2:46" x14ac:dyDescent="0.3">
      <c r="B121" s="41">
        <v>43586</v>
      </c>
      <c r="C121" s="34">
        <f t="shared" si="10"/>
        <v>28.511765454526877</v>
      </c>
      <c r="D121" s="34">
        <f t="shared" si="11"/>
        <v>30.444226546924778</v>
      </c>
      <c r="E121" s="35"/>
      <c r="F121" s="36">
        <v>3440</v>
      </c>
      <c r="G121" s="36">
        <v>1730</v>
      </c>
      <c r="H121" s="34">
        <f t="shared" si="7"/>
        <v>15.799339022344991</v>
      </c>
      <c r="I121" s="34">
        <f t="shared" si="8"/>
        <v>0.58556076054009365</v>
      </c>
      <c r="J121" s="34">
        <f t="shared" si="9"/>
        <v>12.126865671641792</v>
      </c>
      <c r="K121" s="35"/>
      <c r="L121" s="36">
        <v>2830</v>
      </c>
      <c r="M121" s="36">
        <f>'AMPE-MCVE'!N58</f>
        <v>704.62165000000005</v>
      </c>
      <c r="N121" s="36">
        <v>3140</v>
      </c>
      <c r="O121" s="34">
        <v>26.967741935483872</v>
      </c>
      <c r="P121" s="34">
        <f t="shared" si="12"/>
        <v>2.1448332352941182</v>
      </c>
      <c r="Q121" s="34">
        <f t="shared" si="13"/>
        <v>1.331651376146789</v>
      </c>
      <c r="R121" s="16"/>
      <c r="S121" s="16"/>
      <c r="T121" s="16"/>
      <c r="U121" s="16"/>
      <c r="V121" s="16"/>
      <c r="W121" s="16"/>
      <c r="X121" s="16"/>
      <c r="Y121" s="16"/>
      <c r="Z121" s="16"/>
      <c r="AA121" s="16"/>
      <c r="AB121" s="16"/>
      <c r="AC121" s="16"/>
      <c r="AD121" s="16"/>
      <c r="AE121" s="16"/>
      <c r="AF121" s="16"/>
      <c r="AG121" s="16"/>
      <c r="AH121" s="16"/>
      <c r="AI121" s="16"/>
      <c r="AJ121" s="16"/>
      <c r="AK121" s="16"/>
      <c r="AL121" s="16"/>
      <c r="AM121" s="16"/>
      <c r="AN121" s="16"/>
      <c r="AO121" s="16"/>
      <c r="AP121" s="16"/>
      <c r="AQ121" s="16"/>
      <c r="AR121" s="16"/>
      <c r="AS121" s="16"/>
    </row>
    <row r="122" spans="2:46" x14ac:dyDescent="0.3">
      <c r="B122" s="42">
        <v>43617</v>
      </c>
      <c r="C122" s="37">
        <f t="shared" si="10"/>
        <v>28.406117580630397</v>
      </c>
      <c r="D122" s="37">
        <f t="shared" si="11"/>
        <v>30.367229368835197</v>
      </c>
      <c r="E122" s="35"/>
      <c r="F122" s="38">
        <v>3240</v>
      </c>
      <c r="G122" s="38">
        <v>1820</v>
      </c>
      <c r="H122" s="37">
        <f t="shared" si="7"/>
        <v>14.812805208898535</v>
      </c>
      <c r="I122" s="37">
        <f t="shared" si="8"/>
        <v>0.62689446128410031</v>
      </c>
      <c r="J122" s="37">
        <f t="shared" si="9"/>
        <v>12.966417910447761</v>
      </c>
      <c r="K122" s="35"/>
      <c r="L122" s="38">
        <v>2830</v>
      </c>
      <c r="M122" s="38">
        <f>'AMPE-MCVE'!N59</f>
        <v>707.12846000000002</v>
      </c>
      <c r="N122" s="38">
        <v>2940</v>
      </c>
      <c r="O122" s="37">
        <v>26.967741935483872</v>
      </c>
      <c r="P122" s="37">
        <f t="shared" si="12"/>
        <v>2.1595791764705887</v>
      </c>
      <c r="Q122" s="37">
        <f t="shared" si="13"/>
        <v>1.239908256880734</v>
      </c>
      <c r="R122" s="16"/>
      <c r="S122" s="16"/>
      <c r="T122" s="16"/>
      <c r="U122" s="16"/>
      <c r="V122" s="16"/>
      <c r="W122" s="16"/>
      <c r="X122" s="16"/>
      <c r="Y122" s="16"/>
      <c r="Z122" s="16"/>
      <c r="AA122" s="16"/>
      <c r="AB122" s="16"/>
      <c r="AC122" s="16"/>
      <c r="AD122" s="16"/>
      <c r="AE122" s="16"/>
      <c r="AF122" s="16"/>
      <c r="AG122" s="16"/>
      <c r="AH122" s="16"/>
      <c r="AI122" s="16"/>
      <c r="AJ122" s="16"/>
      <c r="AK122" s="16"/>
      <c r="AL122" s="16"/>
      <c r="AM122" s="16"/>
      <c r="AN122" s="16"/>
      <c r="AO122" s="16"/>
      <c r="AP122" s="16"/>
      <c r="AQ122" s="16"/>
      <c r="AR122" s="16"/>
      <c r="AS122" s="16"/>
    </row>
    <row r="123" spans="2:46" x14ac:dyDescent="0.3">
      <c r="B123" s="41">
        <v>43647</v>
      </c>
      <c r="C123" s="34">
        <f t="shared" si="10"/>
        <v>27.864301149073938</v>
      </c>
      <c r="D123" s="34">
        <f t="shared" si="11"/>
        <v>30.025744788694883</v>
      </c>
      <c r="E123" s="35"/>
      <c r="F123" s="36">
        <v>3150</v>
      </c>
      <c r="G123" s="36">
        <v>1810</v>
      </c>
      <c r="H123" s="34">
        <f t="shared" si="7"/>
        <v>14.36886499284763</v>
      </c>
      <c r="I123" s="34">
        <f t="shared" si="8"/>
        <v>0.62230182786809962</v>
      </c>
      <c r="J123" s="34">
        <f t="shared" si="9"/>
        <v>12.873134328358208</v>
      </c>
      <c r="K123" s="35"/>
      <c r="L123" s="36">
        <v>2830</v>
      </c>
      <c r="M123" s="36">
        <f>'AMPE-MCVE'!N60</f>
        <v>656.09442999999999</v>
      </c>
      <c r="N123" s="36">
        <v>2850</v>
      </c>
      <c r="O123" s="34">
        <v>26.967741935483872</v>
      </c>
      <c r="P123" s="34">
        <f t="shared" si="12"/>
        <v>1.8593789999999999</v>
      </c>
      <c r="Q123" s="34">
        <f t="shared" si="13"/>
        <v>1.1986238532110092</v>
      </c>
      <c r="R123" s="16"/>
      <c r="S123" s="16"/>
      <c r="T123" s="16"/>
      <c r="U123" s="16"/>
      <c r="V123" s="16"/>
      <c r="W123" s="16"/>
      <c r="X123" s="16"/>
      <c r="Y123" s="16"/>
      <c r="Z123" s="16"/>
      <c r="AA123" s="16"/>
      <c r="AB123" s="16"/>
      <c r="AC123" s="16"/>
      <c r="AD123" s="16"/>
      <c r="AE123" s="16"/>
      <c r="AF123" s="16"/>
      <c r="AG123" s="16"/>
      <c r="AH123" s="16"/>
      <c r="AI123" s="16"/>
      <c r="AJ123" s="16"/>
      <c r="AK123" s="16"/>
      <c r="AL123" s="16"/>
      <c r="AM123" s="16"/>
      <c r="AN123" s="16"/>
      <c r="AO123" s="16"/>
      <c r="AP123" s="16"/>
      <c r="AQ123" s="16"/>
      <c r="AR123" s="16"/>
      <c r="AS123" s="16"/>
    </row>
    <row r="124" spans="2:46" x14ac:dyDescent="0.3">
      <c r="B124" s="42">
        <v>43678</v>
      </c>
      <c r="C124" s="37">
        <f t="shared" si="10"/>
        <v>27.66388572302828</v>
      </c>
      <c r="D124" s="37">
        <f t="shared" si="11"/>
        <v>29.927789093605835</v>
      </c>
      <c r="E124" s="35"/>
      <c r="F124" s="38">
        <v>3030</v>
      </c>
      <c r="G124" s="38">
        <v>1850</v>
      </c>
      <c r="H124" s="37">
        <f t="shared" si="7"/>
        <v>13.776944704779757</v>
      </c>
      <c r="I124" s="37">
        <f t="shared" si="8"/>
        <v>0.6406723615321025</v>
      </c>
      <c r="J124" s="37">
        <f t="shared" si="9"/>
        <v>13.246268656716419</v>
      </c>
      <c r="K124" s="35"/>
      <c r="L124" s="38">
        <v>2830</v>
      </c>
      <c r="M124" s="38">
        <f>'AMPE-MCVE'!N61</f>
        <v>648.79975999999999</v>
      </c>
      <c r="N124" s="38">
        <v>2730</v>
      </c>
      <c r="O124" s="37">
        <v>26.967741935483872</v>
      </c>
      <c r="P124" s="37">
        <f t="shared" si="12"/>
        <v>1.8164691764705883</v>
      </c>
      <c r="Q124" s="37">
        <f t="shared" si="13"/>
        <v>1.1435779816513763</v>
      </c>
      <c r="R124" s="16"/>
      <c r="S124" s="16"/>
      <c r="T124" s="16"/>
      <c r="U124" s="16"/>
      <c r="V124" s="16"/>
      <c r="W124" s="16"/>
      <c r="X124" s="16"/>
      <c r="Y124" s="16"/>
      <c r="Z124" s="16"/>
      <c r="AA124" s="16"/>
      <c r="AB124" s="16"/>
      <c r="AC124" s="16"/>
      <c r="AD124" s="16"/>
      <c r="AE124" s="16"/>
      <c r="AF124" s="16"/>
      <c r="AG124" s="16"/>
      <c r="AH124" s="16"/>
      <c r="AI124" s="16"/>
      <c r="AJ124" s="16"/>
      <c r="AK124" s="16"/>
      <c r="AL124" s="16"/>
      <c r="AM124" s="16"/>
      <c r="AN124" s="16"/>
      <c r="AO124" s="16"/>
      <c r="AP124" s="16"/>
      <c r="AQ124" s="16"/>
      <c r="AR124" s="16"/>
      <c r="AS124" s="16"/>
    </row>
    <row r="125" spans="2:46" x14ac:dyDescent="0.3">
      <c r="B125" s="41">
        <v>43709</v>
      </c>
      <c r="C125" s="34">
        <f t="shared" ref="C125:C126" si="14">H125+I125+J125</f>
        <v>29.727057907035814</v>
      </c>
      <c r="D125" s="34">
        <f t="shared" ref="D125:D126" si="15">O125+P125+Q125</f>
        <v>29.904787154048364</v>
      </c>
      <c r="E125" s="35"/>
      <c r="F125" s="36">
        <v>3230</v>
      </c>
      <c r="G125" s="36">
        <v>1960</v>
      </c>
      <c r="H125" s="34">
        <f t="shared" si="7"/>
        <v>14.763478518226211</v>
      </c>
      <c r="I125" s="34">
        <f t="shared" si="8"/>
        <v>0.69119132910811054</v>
      </c>
      <c r="J125" s="34">
        <f t="shared" si="9"/>
        <v>14.272388059701493</v>
      </c>
      <c r="K125" s="35"/>
      <c r="L125" s="36">
        <v>2830</v>
      </c>
      <c r="M125" s="36">
        <f>'AMPE-MCVE'!N62</f>
        <v>629.29309999999998</v>
      </c>
      <c r="N125" s="36">
        <f t="shared" ref="N125:N126" si="16">F125-300</f>
        <v>2930</v>
      </c>
      <c r="O125" s="34">
        <f t="shared" ref="O125" si="17">(L125-322)*100/9300</f>
        <v>26.967741935483872</v>
      </c>
      <c r="P125" s="34">
        <f t="shared" si="12"/>
        <v>1.7017241176470588</v>
      </c>
      <c r="Q125" s="34">
        <f t="shared" si="13"/>
        <v>1.2353211009174312</v>
      </c>
      <c r="R125" s="16"/>
      <c r="S125" s="16"/>
      <c r="T125" s="16"/>
      <c r="U125" s="16"/>
      <c r="V125" s="16"/>
      <c r="W125" s="16"/>
      <c r="X125" s="16"/>
      <c r="Y125" s="16"/>
      <c r="Z125" s="16"/>
      <c r="AA125" s="16"/>
      <c r="AB125" s="16"/>
      <c r="AC125" s="16"/>
      <c r="AD125" s="16"/>
      <c r="AE125" s="16"/>
      <c r="AF125" s="16"/>
      <c r="AG125" s="16"/>
      <c r="AH125" s="16"/>
      <c r="AI125" s="16"/>
      <c r="AJ125" s="16"/>
      <c r="AK125" s="16"/>
      <c r="AL125" s="16"/>
      <c r="AM125" s="16"/>
      <c r="AN125" s="16"/>
      <c r="AO125" s="16"/>
      <c r="AP125" s="16"/>
      <c r="AQ125" s="16"/>
      <c r="AR125" s="16"/>
      <c r="AS125" s="16"/>
      <c r="AT125" s="16"/>
    </row>
    <row r="126" spans="2:46" x14ac:dyDescent="0.3">
      <c r="B126" s="42">
        <v>43739</v>
      </c>
      <c r="C126" s="37">
        <f t="shared" si="14"/>
        <v>30.214107487046302</v>
      </c>
      <c r="D126" s="37">
        <f t="shared" si="15"/>
        <v>30.085667747680308</v>
      </c>
      <c r="E126" s="35"/>
      <c r="F126" s="38">
        <v>3170</v>
      </c>
      <c r="G126" s="38">
        <v>2040</v>
      </c>
      <c r="H126" s="37">
        <f t="shared" si="7"/>
        <v>14.467518374192275</v>
      </c>
      <c r="I126" s="37">
        <f t="shared" si="8"/>
        <v>0.72793239643611651</v>
      </c>
      <c r="J126" s="37">
        <f t="shared" si="9"/>
        <v>15.01865671641791</v>
      </c>
      <c r="K126" s="35"/>
      <c r="L126" s="38">
        <v>2830</v>
      </c>
      <c r="M126" s="38">
        <f>'AMPE-MCVE'!N63</f>
        <v>664.72169999999994</v>
      </c>
      <c r="N126" s="38">
        <f t="shared" si="16"/>
        <v>2870</v>
      </c>
      <c r="O126" s="37">
        <f t="shared" ref="O126:O127" si="18">(L126-322)*100/9300</f>
        <v>26.967741935483872</v>
      </c>
      <c r="P126" s="37">
        <f t="shared" si="12"/>
        <v>1.9101276470588233</v>
      </c>
      <c r="Q126" s="37">
        <f t="shared" si="13"/>
        <v>1.2077981651376146</v>
      </c>
      <c r="R126" s="16"/>
      <c r="S126" s="16"/>
      <c r="T126" s="16"/>
      <c r="U126" s="16"/>
      <c r="V126" s="16"/>
      <c r="W126" s="16"/>
      <c r="X126" s="16"/>
      <c r="Y126" s="16"/>
      <c r="Z126" s="16"/>
      <c r="AA126" s="16"/>
      <c r="AB126" s="16"/>
      <c r="AC126" s="16"/>
      <c r="AD126" s="16"/>
      <c r="AE126" s="16"/>
      <c r="AF126" s="16"/>
      <c r="AG126" s="16"/>
      <c r="AH126" s="16"/>
      <c r="AI126" s="16"/>
      <c r="AJ126" s="16"/>
      <c r="AK126" s="16"/>
      <c r="AL126" s="16"/>
      <c r="AM126" s="16"/>
      <c r="AN126" s="16"/>
      <c r="AO126" s="16"/>
      <c r="AP126" s="16"/>
      <c r="AQ126" s="16"/>
      <c r="AR126" s="16"/>
      <c r="AS126" s="16"/>
      <c r="AT126" s="16"/>
    </row>
    <row r="127" spans="2:46" x14ac:dyDescent="0.3">
      <c r="B127" s="41">
        <v>43770</v>
      </c>
      <c r="C127" s="34">
        <f t="shared" ref="C127:C128" si="19">H127+I127+J127</f>
        <v>31.144320117268602</v>
      </c>
      <c r="D127" s="34">
        <f t="shared" ref="D127:D128" si="20">O127+P127+Q127</f>
        <v>30.198522550702435</v>
      </c>
      <c r="E127" s="35"/>
      <c r="F127" s="36">
        <v>3180</v>
      </c>
      <c r="G127" s="36">
        <v>2130</v>
      </c>
      <c r="H127" s="34">
        <f t="shared" si="7"/>
        <v>14.516845064864599</v>
      </c>
      <c r="I127" s="34">
        <f t="shared" si="8"/>
        <v>0.76926609718012307</v>
      </c>
      <c r="J127" s="34">
        <f t="shared" si="9"/>
        <v>15.85820895522388</v>
      </c>
      <c r="K127" s="35"/>
      <c r="L127" s="36">
        <v>2830</v>
      </c>
      <c r="M127" s="36">
        <f>'AMPE-MCVE'!N64</f>
        <v>683.12720000000002</v>
      </c>
      <c r="N127" s="36">
        <f t="shared" ref="N127:N128" si="21">F127-300</f>
        <v>2880</v>
      </c>
      <c r="O127" s="34">
        <f t="shared" si="18"/>
        <v>26.967741935483872</v>
      </c>
      <c r="P127" s="34">
        <f t="shared" ref="P127:P132" si="22">(M127-340)*100/17000</f>
        <v>2.0183952941176471</v>
      </c>
      <c r="Q127" s="34">
        <f t="shared" ref="Q127:Q132" si="23">(N127-237)*100/218000</f>
        <v>1.2123853211009175</v>
      </c>
      <c r="R127" s="16"/>
      <c r="S127" s="16"/>
      <c r="T127" s="16"/>
      <c r="U127" s="16"/>
      <c r="V127" s="16"/>
      <c r="W127" s="16"/>
      <c r="X127" s="16"/>
      <c r="Y127" s="16"/>
      <c r="Z127" s="16"/>
      <c r="AA127" s="16"/>
      <c r="AB127" s="16"/>
      <c r="AC127" s="16"/>
      <c r="AD127" s="16"/>
      <c r="AE127" s="16"/>
      <c r="AF127" s="16"/>
      <c r="AG127" s="16"/>
      <c r="AH127" s="16"/>
      <c r="AI127" s="16"/>
      <c r="AJ127" s="16"/>
      <c r="AK127" s="16"/>
      <c r="AL127" s="16"/>
      <c r="AM127" s="16"/>
      <c r="AN127" s="16"/>
      <c r="AO127" s="16"/>
      <c r="AP127" s="16"/>
      <c r="AQ127" s="16"/>
      <c r="AR127" s="16"/>
      <c r="AS127" s="16"/>
      <c r="AT127" s="16"/>
    </row>
    <row r="128" spans="2:46" x14ac:dyDescent="0.3">
      <c r="B128" s="42">
        <v>43800</v>
      </c>
      <c r="C128" s="37">
        <f t="shared" si="19"/>
        <v>31.188983812906368</v>
      </c>
      <c r="D128" s="37">
        <f t="shared" si="20"/>
        <v>30.160195423341399</v>
      </c>
      <c r="E128" s="35"/>
      <c r="F128" s="38">
        <v>3070</v>
      </c>
      <c r="G128" s="38">
        <v>2190</v>
      </c>
      <c r="H128" s="37">
        <f>(F128-237)*100/20273</f>
        <v>13.974251467469047</v>
      </c>
      <c r="I128" s="37">
        <f t="shared" ref="I128:I130" si="24">((G128-103)-352)*100/217740</f>
        <v>0.79682189767612754</v>
      </c>
      <c r="J128" s="37">
        <f t="shared" ref="J128:J130" si="25">(G128-430)*100/10720</f>
        <v>16.417910447761194</v>
      </c>
      <c r="K128" s="35"/>
      <c r="L128" s="38">
        <v>2830</v>
      </c>
      <c r="M128" s="38">
        <f>'AMPE-MCVE'!N65</f>
        <v>685.18957</v>
      </c>
      <c r="N128" s="38">
        <f t="shared" si="21"/>
        <v>2770</v>
      </c>
      <c r="O128" s="37">
        <f t="shared" ref="O128:O130" si="26">(L128-322)*100/9300</f>
        <v>26.967741935483872</v>
      </c>
      <c r="P128" s="37">
        <f t="shared" si="22"/>
        <v>2.0305268823529414</v>
      </c>
      <c r="Q128" s="37">
        <f t="shared" si="23"/>
        <v>1.1619266055045872</v>
      </c>
      <c r="R128" s="16"/>
      <c r="S128" s="16"/>
      <c r="T128" s="16"/>
      <c r="U128" s="16"/>
      <c r="V128" s="16"/>
      <c r="W128" s="16"/>
      <c r="X128" s="16"/>
      <c r="Y128" s="16"/>
      <c r="Z128" s="16"/>
      <c r="AA128" s="16"/>
      <c r="AB128" s="16"/>
      <c r="AC128" s="16"/>
      <c r="AD128" s="16"/>
      <c r="AE128" s="16"/>
      <c r="AF128" s="16"/>
      <c r="AG128" s="16"/>
      <c r="AH128" s="16"/>
      <c r="AI128" s="16"/>
      <c r="AJ128" s="16"/>
      <c r="AK128" s="16"/>
      <c r="AL128" s="16"/>
      <c r="AM128" s="16"/>
      <c r="AN128" s="16"/>
      <c r="AO128" s="16"/>
      <c r="AP128" s="16"/>
      <c r="AQ128" s="16"/>
      <c r="AR128" s="16"/>
      <c r="AS128" s="16"/>
      <c r="AT128" s="16"/>
    </row>
    <row r="129" spans="2:46" x14ac:dyDescent="0.3">
      <c r="B129" s="41">
        <v>43831</v>
      </c>
      <c r="C129" s="34">
        <f t="shared" ref="C129:C130" si="27">H129+I129+J129</f>
        <v>31.433285768750707</v>
      </c>
      <c r="D129" s="34">
        <f t="shared" ref="D129:D130" si="28">O129+P129+Q129</f>
        <v>30.206649326201624</v>
      </c>
      <c r="E129" s="35"/>
      <c r="F129" s="36">
        <v>3060</v>
      </c>
      <c r="G129" s="36">
        <v>2220</v>
      </c>
      <c r="H129" s="34">
        <f t="shared" ref="H129:H130" si="29">(F129-237)*100/20273</f>
        <v>13.924924776796725</v>
      </c>
      <c r="I129" s="34">
        <f t="shared" si="24"/>
        <v>0.81059979792412973</v>
      </c>
      <c r="J129" s="34">
        <f t="shared" si="25"/>
        <v>16.697761194029852</v>
      </c>
      <c r="K129" s="35"/>
      <c r="L129" s="36">
        <v>2830</v>
      </c>
      <c r="M129" s="36">
        <f>'AMPE-MCVE'!N66</f>
        <v>693.86654999999996</v>
      </c>
      <c r="N129" s="36">
        <f t="shared" ref="N129:N130" si="30">F129-300</f>
        <v>2760</v>
      </c>
      <c r="O129" s="34">
        <f t="shared" si="26"/>
        <v>26.967741935483872</v>
      </c>
      <c r="P129" s="34">
        <f t="shared" si="22"/>
        <v>2.0815679411764707</v>
      </c>
      <c r="Q129" s="34">
        <f t="shared" si="23"/>
        <v>1.1573394495412843</v>
      </c>
      <c r="R129" s="16"/>
      <c r="S129" s="16"/>
      <c r="T129" s="16"/>
      <c r="U129" s="16"/>
      <c r="V129" s="16"/>
      <c r="W129" s="16"/>
      <c r="X129" s="16"/>
      <c r="Y129" s="16"/>
      <c r="Z129" s="16"/>
      <c r="AA129" s="16"/>
      <c r="AB129" s="16"/>
      <c r="AC129" s="16"/>
      <c r="AD129" s="16"/>
      <c r="AE129" s="16"/>
      <c r="AF129" s="16"/>
      <c r="AG129" s="16"/>
      <c r="AH129" s="16"/>
      <c r="AI129" s="16"/>
      <c r="AJ129" s="16"/>
      <c r="AK129" s="16"/>
      <c r="AL129" s="16"/>
      <c r="AM129" s="16"/>
      <c r="AN129" s="16"/>
      <c r="AO129" s="16"/>
      <c r="AP129" s="16"/>
      <c r="AQ129" s="16"/>
      <c r="AR129" s="16"/>
      <c r="AS129" s="16"/>
      <c r="AT129" s="16"/>
    </row>
    <row r="130" spans="2:46" x14ac:dyDescent="0.3">
      <c r="B130" s="42">
        <v>43862</v>
      </c>
      <c r="C130" s="37">
        <f t="shared" si="27"/>
        <v>30.400533927988299</v>
      </c>
      <c r="D130" s="37">
        <f t="shared" si="28"/>
        <v>30.563648755560411</v>
      </c>
      <c r="E130" s="35"/>
      <c r="F130" s="38">
        <v>2930</v>
      </c>
      <c r="G130" s="38">
        <v>2180</v>
      </c>
      <c r="H130" s="37">
        <f t="shared" si="29"/>
        <v>13.283677798056528</v>
      </c>
      <c r="I130" s="37">
        <f t="shared" si="24"/>
        <v>0.79222926426012674</v>
      </c>
      <c r="J130" s="37">
        <f t="shared" si="25"/>
        <v>16.324626865671643</v>
      </c>
      <c r="K130" s="35"/>
      <c r="L130" s="38">
        <v>2870</v>
      </c>
      <c r="M130" s="38">
        <f>'AMPE-MCVE'!N67</f>
        <v>691.57578809999995</v>
      </c>
      <c r="N130" s="38">
        <f t="shared" si="30"/>
        <v>2630</v>
      </c>
      <c r="O130" s="37">
        <f t="shared" si="26"/>
        <v>27.397849462365592</v>
      </c>
      <c r="P130" s="37">
        <f t="shared" si="22"/>
        <v>2.0680928711764701</v>
      </c>
      <c r="Q130" s="37">
        <f t="shared" si="23"/>
        <v>1.0977064220183486</v>
      </c>
      <c r="R130" s="16"/>
      <c r="S130" s="16"/>
      <c r="T130" s="16"/>
      <c r="U130" s="16"/>
      <c r="V130" s="16"/>
      <c r="W130" s="16"/>
      <c r="X130" s="16"/>
      <c r="Y130" s="16"/>
      <c r="Z130" s="16"/>
      <c r="AA130" s="16"/>
      <c r="AB130" s="16"/>
      <c r="AC130" s="16"/>
      <c r="AD130" s="16"/>
      <c r="AE130" s="16"/>
      <c r="AF130" s="16"/>
      <c r="AG130" s="16"/>
      <c r="AH130" s="16"/>
      <c r="AI130" s="16"/>
      <c r="AJ130" s="16"/>
      <c r="AK130" s="16"/>
      <c r="AL130" s="16"/>
      <c r="AM130" s="16"/>
      <c r="AN130" s="16"/>
      <c r="AO130" s="16"/>
      <c r="AP130" s="16"/>
      <c r="AQ130" s="16"/>
      <c r="AR130" s="16"/>
      <c r="AS130" s="16"/>
      <c r="AT130" s="16"/>
    </row>
    <row r="131" spans="2:46" x14ac:dyDescent="0.3">
      <c r="B131" s="41">
        <v>43891</v>
      </c>
      <c r="C131" s="34">
        <f t="shared" ref="C131:C132" si="31">H131+I131+J131</f>
        <v>28.491559142710464</v>
      </c>
      <c r="D131" s="34">
        <f t="shared" ref="D131:D132" si="32">O131+P131+Q131</f>
        <v>30.980544961184709</v>
      </c>
      <c r="E131" s="35"/>
      <c r="F131" s="36">
        <v>2920</v>
      </c>
      <c r="G131" s="36">
        <v>1990</v>
      </c>
      <c r="H131" s="34">
        <f t="shared" ref="H131:H132" si="33">(F131-237)*100/20273</f>
        <v>13.234351107384205</v>
      </c>
      <c r="I131" s="34">
        <f t="shared" ref="I131:I132" si="34">((G131-103)-352)*100/217740</f>
        <v>0.70496922935611284</v>
      </c>
      <c r="J131" s="34">
        <f t="shared" ref="J131:J132" si="35">(G131-430)*100/10720</f>
        <v>14.552238805970148</v>
      </c>
      <c r="K131" s="35"/>
      <c r="L131" s="36">
        <v>2910</v>
      </c>
      <c r="M131" s="36">
        <f>'AMPE-MCVE'!N68</f>
        <v>690.10968000000003</v>
      </c>
      <c r="N131" s="36">
        <f t="shared" ref="N131:N132" si="36">F131-300</f>
        <v>2620</v>
      </c>
      <c r="O131" s="34">
        <f t="shared" ref="O131:O132" si="37">(L131-322)*100/9300</f>
        <v>27.827956989247312</v>
      </c>
      <c r="P131" s="34">
        <f t="shared" si="22"/>
        <v>2.0594687058823529</v>
      </c>
      <c r="Q131" s="34">
        <f t="shared" si="23"/>
        <v>1.0931192660550459</v>
      </c>
      <c r="R131" s="16"/>
      <c r="S131" s="16"/>
      <c r="T131" s="16"/>
      <c r="U131" s="16"/>
      <c r="V131" s="16"/>
      <c r="W131" s="16"/>
      <c r="X131" s="16"/>
      <c r="Y131" s="16"/>
      <c r="Z131" s="16"/>
      <c r="AA131" s="16"/>
      <c r="AB131" s="16"/>
      <c r="AC131" s="16"/>
      <c r="AD131" s="16"/>
      <c r="AE131" s="16"/>
      <c r="AF131" s="16"/>
      <c r="AG131" s="16"/>
      <c r="AH131" s="16"/>
      <c r="AI131" s="16"/>
      <c r="AJ131" s="16"/>
      <c r="AK131" s="16"/>
      <c r="AL131" s="16"/>
      <c r="AM131" s="16"/>
      <c r="AN131" s="16"/>
      <c r="AO131" s="16"/>
      <c r="AP131" s="16"/>
      <c r="AQ131" s="16"/>
      <c r="AR131" s="16"/>
      <c r="AS131" s="16"/>
      <c r="AT131" s="16"/>
    </row>
    <row r="132" spans="2:46" x14ac:dyDescent="0.3">
      <c r="B132" s="42">
        <v>43922</v>
      </c>
      <c r="C132" s="37">
        <f t="shared" si="31"/>
        <v>23.332462933932984</v>
      </c>
      <c r="D132" s="37">
        <f t="shared" si="32"/>
        <v>30.114720572574964</v>
      </c>
      <c r="E132" s="35"/>
      <c r="F132" s="38">
        <v>2390</v>
      </c>
      <c r="G132" s="38">
        <v>1730</v>
      </c>
      <c r="H132" s="37">
        <f t="shared" si="33"/>
        <v>10.620036501751098</v>
      </c>
      <c r="I132" s="37">
        <f t="shared" si="34"/>
        <v>0.58556076054009365</v>
      </c>
      <c r="J132" s="37">
        <f t="shared" si="35"/>
        <v>12.126865671641792</v>
      </c>
      <c r="K132" s="35"/>
      <c r="L132" s="38">
        <v>2880</v>
      </c>
      <c r="M132" s="38">
        <f>'AMPE-MCVE'!N69</f>
        <v>639.08851884312014</v>
      </c>
      <c r="N132" s="38">
        <f t="shared" si="36"/>
        <v>2090</v>
      </c>
      <c r="O132" s="37">
        <f t="shared" si="37"/>
        <v>27.50537634408602</v>
      </c>
      <c r="P132" s="37">
        <f t="shared" si="22"/>
        <v>1.759344228488942</v>
      </c>
      <c r="Q132" s="37">
        <f t="shared" si="23"/>
        <v>0.85</v>
      </c>
      <c r="R132" s="16"/>
      <c r="S132" s="16"/>
      <c r="T132" s="16"/>
      <c r="U132" s="16"/>
      <c r="V132" s="16"/>
      <c r="W132" s="16"/>
      <c r="X132" s="16"/>
      <c r="Y132" s="16"/>
      <c r="Z132" s="16"/>
      <c r="AA132" s="16"/>
      <c r="AB132" s="16"/>
      <c r="AC132" s="16"/>
      <c r="AD132" s="16"/>
      <c r="AE132" s="16"/>
      <c r="AF132" s="16"/>
      <c r="AG132" s="16"/>
      <c r="AH132" s="16"/>
      <c r="AI132" s="16"/>
      <c r="AJ132" s="16"/>
      <c r="AK132" s="16"/>
      <c r="AL132" s="16"/>
      <c r="AM132" s="16"/>
      <c r="AN132" s="16"/>
      <c r="AO132" s="16"/>
      <c r="AP132" s="16"/>
      <c r="AQ132" s="16"/>
      <c r="AR132" s="16"/>
      <c r="AS132" s="16"/>
      <c r="AT132" s="16"/>
    </row>
    <row r="133" spans="2:46" x14ac:dyDescent="0.3">
      <c r="B133" s="41">
        <v>43952</v>
      </c>
      <c r="C133" s="34">
        <f t="shared" ref="C133:C135" si="38">H133+I133+J133</f>
        <v>24.564075869062869</v>
      </c>
      <c r="D133" s="34">
        <f t="shared" ref="D133:D135" si="39">O133+P133+Q133</f>
        <v>30.487531303051448</v>
      </c>
      <c r="E133" s="35"/>
      <c r="F133" s="36">
        <v>2600</v>
      </c>
      <c r="G133" s="36">
        <v>1750</v>
      </c>
      <c r="H133" s="34">
        <f t="shared" ref="H133:H135" si="40">(F133-237)*100/20273</f>
        <v>11.655897005869877</v>
      </c>
      <c r="I133" s="34">
        <f t="shared" ref="I133:I135" si="41">((G133-103)-352)*100/217740</f>
        <v>0.59474602737209514</v>
      </c>
      <c r="J133" s="34">
        <f t="shared" ref="J133:J135" si="42">(G133-430)*100/10720</f>
        <v>12.313432835820896</v>
      </c>
      <c r="K133" s="35"/>
      <c r="L133" s="36">
        <v>2900</v>
      </c>
      <c r="M133" s="36">
        <f>'AMPE-MCVE'!N70</f>
        <v>649.53105645018582</v>
      </c>
      <c r="N133" s="36">
        <f t="shared" ref="N133:N135" si="43">F133-300</f>
        <v>2300</v>
      </c>
      <c r="O133" s="34">
        <f t="shared" ref="O133:O135" si="44">(L133-322)*100/9300</f>
        <v>27.72043010752688</v>
      </c>
      <c r="P133" s="34">
        <f t="shared" ref="P133:P135" si="45">(M133-340)*100/17000</f>
        <v>1.8207709202952107</v>
      </c>
      <c r="Q133" s="34">
        <f t="shared" ref="Q133:Q135" si="46">(N133-237)*100/218000</f>
        <v>0.94633027522935775</v>
      </c>
      <c r="R133" s="16"/>
      <c r="S133" s="16"/>
      <c r="T133" s="16"/>
      <c r="U133" s="16"/>
      <c r="V133" s="16"/>
      <c r="W133" s="16"/>
      <c r="X133" s="16"/>
      <c r="Y133" s="16"/>
      <c r="Z133" s="16"/>
      <c r="AA133" s="16"/>
      <c r="AB133" s="16"/>
      <c r="AC133" s="16"/>
      <c r="AD133" s="16"/>
      <c r="AE133" s="16"/>
      <c r="AF133" s="16"/>
      <c r="AG133" s="16"/>
      <c r="AH133" s="16"/>
      <c r="AI133" s="16"/>
      <c r="AJ133" s="16"/>
      <c r="AK133" s="16"/>
      <c r="AL133" s="16"/>
      <c r="AM133" s="16"/>
      <c r="AN133" s="16"/>
      <c r="AO133" s="16"/>
      <c r="AP133" s="16"/>
      <c r="AQ133" s="16"/>
      <c r="AR133" s="16"/>
      <c r="AS133" s="16"/>
      <c r="AT133" s="16"/>
    </row>
    <row r="134" spans="2:46" x14ac:dyDescent="0.3">
      <c r="B134" s="42">
        <v>43983</v>
      </c>
      <c r="C134" s="37">
        <f t="shared" si="38"/>
        <v>29.374776579777723</v>
      </c>
      <c r="D134" s="37">
        <f t="shared" si="39"/>
        <v>30.88985932049394</v>
      </c>
      <c r="E134" s="35"/>
      <c r="F134" s="38">
        <v>2980</v>
      </c>
      <c r="G134" s="38">
        <v>2050</v>
      </c>
      <c r="H134" s="37">
        <f t="shared" si="40"/>
        <v>13.530311251418143</v>
      </c>
      <c r="I134" s="37">
        <f t="shared" si="41"/>
        <v>0.7325250298521172</v>
      </c>
      <c r="J134" s="37">
        <f t="shared" si="42"/>
        <v>15.111940298507463</v>
      </c>
      <c r="K134" s="35"/>
      <c r="L134" s="38">
        <v>2910</v>
      </c>
      <c r="M134" s="38">
        <f>'AMPE-MCVE'!N71</f>
        <v>670.01422200000002</v>
      </c>
      <c r="N134" s="38">
        <f t="shared" si="43"/>
        <v>2680</v>
      </c>
      <c r="O134" s="37">
        <f t="shared" si="44"/>
        <v>27.827956989247312</v>
      </c>
      <c r="P134" s="37">
        <f t="shared" si="45"/>
        <v>1.9412601294117648</v>
      </c>
      <c r="Q134" s="37">
        <f t="shared" si="46"/>
        <v>1.1206422018348623</v>
      </c>
      <c r="R134" s="16"/>
      <c r="S134" s="16"/>
      <c r="T134" s="16"/>
      <c r="U134" s="16"/>
      <c r="V134" s="16"/>
      <c r="W134" s="16"/>
      <c r="X134" s="16"/>
      <c r="Y134" s="16"/>
      <c r="Z134" s="16"/>
      <c r="AA134" s="16"/>
      <c r="AB134" s="16"/>
      <c r="AC134" s="16"/>
      <c r="AD134" s="16"/>
      <c r="AE134" s="16"/>
      <c r="AF134" s="16"/>
      <c r="AG134" s="16"/>
      <c r="AH134" s="16"/>
      <c r="AI134" s="16"/>
      <c r="AJ134" s="16"/>
      <c r="AK134" s="16"/>
      <c r="AL134" s="16"/>
      <c r="AM134" s="16"/>
      <c r="AN134" s="16"/>
      <c r="AO134" s="16"/>
      <c r="AP134" s="16"/>
      <c r="AQ134" s="16"/>
      <c r="AR134" s="16"/>
      <c r="AS134" s="16"/>
      <c r="AT134" s="16"/>
    </row>
    <row r="135" spans="2:46" x14ac:dyDescent="0.3">
      <c r="B135" s="41">
        <v>44013</v>
      </c>
      <c r="C135" s="34">
        <f t="shared" si="38"/>
        <v>28.546325994256442</v>
      </c>
      <c r="D135" s="34">
        <f t="shared" si="39"/>
        <v>31.012454241178208</v>
      </c>
      <c r="E135" s="35"/>
      <c r="F135" s="36">
        <v>3070</v>
      </c>
      <c r="G135" s="36">
        <v>1920</v>
      </c>
      <c r="H135" s="34">
        <f t="shared" si="40"/>
        <v>13.974251467469047</v>
      </c>
      <c r="I135" s="34">
        <f t="shared" si="41"/>
        <v>0.67282079544410767</v>
      </c>
      <c r="J135" s="34">
        <f t="shared" si="42"/>
        <v>13.899253731343284</v>
      </c>
      <c r="K135" s="35"/>
      <c r="L135" s="36">
        <v>2920</v>
      </c>
      <c r="M135" s="36">
        <f>'AMPE-MCVE'!N72</f>
        <v>665.55744000000004</v>
      </c>
      <c r="N135" s="36">
        <f t="shared" si="43"/>
        <v>2770</v>
      </c>
      <c r="O135" s="34">
        <f t="shared" si="44"/>
        <v>27.93548387096774</v>
      </c>
      <c r="P135" s="34">
        <f t="shared" si="45"/>
        <v>1.9150437647058827</v>
      </c>
      <c r="Q135" s="34">
        <f t="shared" si="46"/>
        <v>1.1619266055045872</v>
      </c>
      <c r="R135" s="16"/>
      <c r="S135" s="16"/>
      <c r="T135" s="16"/>
      <c r="U135" s="16"/>
      <c r="V135" s="16"/>
      <c r="W135" s="16"/>
      <c r="X135" s="16"/>
      <c r="Y135" s="16"/>
      <c r="Z135" s="16"/>
      <c r="AA135" s="16"/>
      <c r="AB135" s="16"/>
      <c r="AC135" s="16"/>
      <c r="AD135" s="16"/>
      <c r="AE135" s="16"/>
      <c r="AF135" s="16"/>
      <c r="AG135" s="16"/>
      <c r="AH135" s="16"/>
      <c r="AI135" s="16"/>
      <c r="AJ135" s="16"/>
      <c r="AK135" s="16"/>
      <c r="AL135" s="16"/>
      <c r="AM135" s="16"/>
      <c r="AN135" s="16"/>
      <c r="AO135" s="16"/>
      <c r="AP135" s="16"/>
      <c r="AQ135" s="16"/>
      <c r="AR135" s="16"/>
      <c r="AS135" s="16"/>
      <c r="AT135" s="16"/>
    </row>
    <row r="136" spans="2:46" x14ac:dyDescent="0.3">
      <c r="B136" s="42">
        <v>44044</v>
      </c>
      <c r="C136" s="37">
        <f t="shared" ref="C136" si="47">H136+I136+J136</f>
        <v>28.008395391895444</v>
      </c>
      <c r="D136" s="37">
        <f t="shared" ref="D136" si="48">O136+P136+Q136</f>
        <v>30.917906820670925</v>
      </c>
      <c r="E136" s="16"/>
      <c r="F136" s="38">
        <v>3080</v>
      </c>
      <c r="G136" s="38">
        <v>1860</v>
      </c>
      <c r="H136" s="37">
        <f>(F136-237)*100/20273</f>
        <v>14.023578158141371</v>
      </c>
      <c r="I136" s="37">
        <f t="shared" ref="I136:I137" si="49">((G136-103)-352)*100/217740</f>
        <v>0.64526499494810319</v>
      </c>
      <c r="J136" s="37">
        <f t="shared" ref="J136:J137" si="50">(G136-430)*100/10720</f>
        <v>13.33955223880597</v>
      </c>
      <c r="K136" s="35"/>
      <c r="L136" s="38">
        <v>2920</v>
      </c>
      <c r="M136" s="38">
        <f>'AMPE-MCVE'!N73</f>
        <v>648.70456200000001</v>
      </c>
      <c r="N136" s="38">
        <f t="shared" ref="N136:N137" si="51">F136-300</f>
        <v>2780</v>
      </c>
      <c r="O136" s="37">
        <f t="shared" ref="O136:O137" si="52">(L136-322)*100/9300</f>
        <v>27.93548387096774</v>
      </c>
      <c r="P136" s="37">
        <f t="shared" ref="P136:P137" si="53">(M136-340)*100/17000</f>
        <v>1.8159091882352942</v>
      </c>
      <c r="Q136" s="37">
        <f t="shared" ref="Q136:Q137" si="54">(N136-237)*100/218000</f>
        <v>1.16651376146789</v>
      </c>
      <c r="R136" s="16"/>
      <c r="S136" s="16"/>
      <c r="T136" s="16"/>
      <c r="U136" s="16"/>
      <c r="V136" s="16"/>
      <c r="W136" s="16"/>
      <c r="X136" s="16"/>
      <c r="Y136" s="16"/>
      <c r="Z136" s="16"/>
      <c r="AA136" s="16"/>
      <c r="AB136" s="16"/>
      <c r="AC136" s="16"/>
      <c r="AD136" s="16"/>
      <c r="AE136" s="16"/>
      <c r="AF136" s="16"/>
      <c r="AG136" s="16"/>
      <c r="AH136" s="16"/>
      <c r="AI136" s="16"/>
      <c r="AJ136" s="16"/>
      <c r="AK136" s="16"/>
      <c r="AL136" s="16"/>
      <c r="AM136" s="16"/>
      <c r="AN136" s="16"/>
      <c r="AO136" s="16"/>
      <c r="AP136" s="16"/>
      <c r="AQ136" s="16"/>
      <c r="AR136" s="16"/>
      <c r="AS136" s="16"/>
      <c r="AT136" s="16"/>
    </row>
    <row r="137" spans="2:46" x14ac:dyDescent="0.3">
      <c r="B137" s="41">
        <v>44075</v>
      </c>
      <c r="C137" s="34">
        <f t="shared" ref="C137:C138" si="55">H137+I137+J137</f>
        <v>29.284672022663095</v>
      </c>
      <c r="D137" s="34">
        <f t="shared" ref="D137:D138" si="56">O137+P137+Q137</f>
        <v>30.965450492068658</v>
      </c>
      <c r="E137" s="35"/>
      <c r="F137" s="36">
        <v>3180</v>
      </c>
      <c r="G137" s="36">
        <v>1940</v>
      </c>
      <c r="H137" s="34">
        <f t="shared" ref="H137" si="57">(F137-237)*100/20273</f>
        <v>14.516845064864599</v>
      </c>
      <c r="I137" s="34">
        <f t="shared" si="49"/>
        <v>0.68200606227610916</v>
      </c>
      <c r="J137" s="34">
        <f t="shared" si="50"/>
        <v>14.085820895522389</v>
      </c>
      <c r="K137" s="35"/>
      <c r="L137" s="36">
        <v>2920</v>
      </c>
      <c r="M137" s="36">
        <f>'AMPE-MCVE'!N74</f>
        <v>648.98882100000003</v>
      </c>
      <c r="N137" s="36">
        <f t="shared" si="51"/>
        <v>2880</v>
      </c>
      <c r="O137" s="34">
        <f t="shared" si="52"/>
        <v>27.93548387096774</v>
      </c>
      <c r="P137" s="34">
        <f t="shared" si="53"/>
        <v>1.8175813000000001</v>
      </c>
      <c r="Q137" s="34">
        <f t="shared" si="54"/>
        <v>1.2123853211009175</v>
      </c>
      <c r="R137"/>
      <c r="S137" s="16"/>
      <c r="T137" s="16"/>
      <c r="U137" s="16"/>
      <c r="V137" s="16"/>
      <c r="W137" s="16"/>
      <c r="X137" s="16"/>
      <c r="Y137" s="16"/>
      <c r="Z137" s="16"/>
      <c r="AA137" s="16"/>
      <c r="AB137" s="16"/>
      <c r="AC137" s="16"/>
      <c r="AD137" s="16"/>
      <c r="AE137" s="16"/>
      <c r="AF137" s="16"/>
      <c r="AG137" s="16"/>
      <c r="AH137" s="16"/>
      <c r="AI137" s="16"/>
      <c r="AJ137" s="16"/>
      <c r="AK137" s="16"/>
      <c r="AL137" s="16"/>
      <c r="AM137" s="16"/>
      <c r="AN137" s="16"/>
      <c r="AO137" s="16"/>
      <c r="AP137" s="16"/>
      <c r="AQ137" s="16"/>
      <c r="AR137" s="16"/>
      <c r="AS137" s="16"/>
      <c r="AT137" s="16"/>
    </row>
    <row r="138" spans="2:46" x14ac:dyDescent="0.3">
      <c r="B138" s="42">
        <v>44105</v>
      </c>
      <c r="C138" s="37">
        <f t="shared" si="55"/>
        <v>29.478870121996017</v>
      </c>
      <c r="D138" s="37">
        <f t="shared" si="56"/>
        <v>31.011060097627212</v>
      </c>
      <c r="E138" s="16"/>
      <c r="F138" s="38">
        <v>3140</v>
      </c>
      <c r="G138" s="38">
        <v>1980</v>
      </c>
      <c r="H138" s="37">
        <f>(F138-237)*100/20273</f>
        <v>14.319538302175307</v>
      </c>
      <c r="I138" s="37">
        <f t="shared" ref="I138:I139" si="58">((G138-103)-352)*100/217740</f>
        <v>0.70037659594011203</v>
      </c>
      <c r="J138" s="37">
        <f t="shared" ref="J138:J139" si="59">(G138-430)*100/10720</f>
        <v>14.458955223880597</v>
      </c>
      <c r="K138" s="35"/>
      <c r="L138" s="38">
        <v>2920</v>
      </c>
      <c r="M138" s="38">
        <f>'AMPE-MCVE'!N75</f>
        <v>659.86171999999999</v>
      </c>
      <c r="N138" s="38">
        <f t="shared" ref="N138:N139" si="60">F138-300</f>
        <v>2840</v>
      </c>
      <c r="O138" s="37">
        <f t="shared" ref="O138:O139" si="61">(L138-322)*100/9300</f>
        <v>27.93548387096774</v>
      </c>
      <c r="P138" s="37">
        <f t="shared" ref="P138:P139" si="62">(M138-340)*100/17000</f>
        <v>1.8815395294117647</v>
      </c>
      <c r="Q138" s="37">
        <f t="shared" ref="Q138:Q139" si="63">(N138-237)*100/218000</f>
        <v>1.1940366972477063</v>
      </c>
      <c r="R138" s="16"/>
      <c r="S138" s="16"/>
      <c r="T138" s="16"/>
      <c r="U138" s="16"/>
      <c r="V138" s="16"/>
      <c r="W138" s="16"/>
      <c r="X138" s="16"/>
      <c r="Y138" s="16"/>
      <c r="Z138" s="16"/>
      <c r="AA138" s="16"/>
      <c r="AB138" s="16"/>
      <c r="AC138" s="16"/>
      <c r="AD138" s="16"/>
      <c r="AE138" s="16"/>
      <c r="AF138" s="16"/>
      <c r="AG138" s="16"/>
      <c r="AH138" s="16"/>
      <c r="AI138" s="16"/>
      <c r="AJ138" s="16"/>
      <c r="AK138" s="16"/>
      <c r="AL138" s="16"/>
      <c r="AM138" s="16"/>
      <c r="AN138" s="16"/>
      <c r="AO138" s="16"/>
      <c r="AP138" s="16"/>
      <c r="AQ138" s="16"/>
      <c r="AR138" s="16"/>
      <c r="AS138" s="16"/>
      <c r="AT138" s="16"/>
    </row>
    <row r="139" spans="2:46" x14ac:dyDescent="0.3">
      <c r="B139" s="41">
        <v>44136</v>
      </c>
      <c r="C139" s="34">
        <f t="shared" ref="C139:C140" si="64">H139+I139+J139</f>
        <v>28.839177474934004</v>
      </c>
      <c r="D139" s="34">
        <f t="shared" ref="D139:D140" si="65">O139+P139+Q139</f>
        <v>30.932076164545723</v>
      </c>
      <c r="E139" s="35"/>
      <c r="F139" s="36">
        <v>3050</v>
      </c>
      <c r="G139" s="36">
        <v>1960</v>
      </c>
      <c r="H139" s="34">
        <f t="shared" ref="H139" si="66">(F139-237)*100/20273</f>
        <v>13.875598086124402</v>
      </c>
      <c r="I139" s="34">
        <f t="shared" si="58"/>
        <v>0.69119132910811054</v>
      </c>
      <c r="J139" s="34">
        <f t="shared" si="59"/>
        <v>14.272388059701493</v>
      </c>
      <c r="K139" s="35"/>
      <c r="L139" s="36">
        <v>2920</v>
      </c>
      <c r="M139" s="36">
        <f>'AMPE-MCVE'!N76</f>
        <v>653.45280000000002</v>
      </c>
      <c r="N139" s="36">
        <f t="shared" si="60"/>
        <v>2750</v>
      </c>
      <c r="O139" s="34">
        <f t="shared" si="61"/>
        <v>27.93548387096774</v>
      </c>
      <c r="P139" s="34">
        <f t="shared" si="62"/>
        <v>1.8438400000000001</v>
      </c>
      <c r="Q139" s="34">
        <f t="shared" si="63"/>
        <v>1.1527522935779817</v>
      </c>
      <c r="R139" s="16"/>
      <c r="S139" s="16"/>
      <c r="T139" s="16"/>
      <c r="U139" s="16"/>
      <c r="V139" s="16"/>
      <c r="W139" s="16"/>
      <c r="X139" s="16"/>
      <c r="Y139" s="16"/>
      <c r="Z139" s="16"/>
      <c r="AA139" s="16"/>
      <c r="AB139" s="16"/>
      <c r="AC139" s="16"/>
      <c r="AD139" s="16"/>
      <c r="AE139" s="16"/>
      <c r="AF139" s="16"/>
      <c r="AG139" s="16"/>
      <c r="AH139" s="16"/>
      <c r="AI139" s="16"/>
      <c r="AJ139" s="16"/>
      <c r="AK139" s="16"/>
      <c r="AL139" s="16"/>
      <c r="AM139" s="16"/>
      <c r="AN139" s="16"/>
      <c r="AO139" s="16"/>
      <c r="AP139" s="16"/>
      <c r="AQ139" s="16"/>
      <c r="AR139" s="16"/>
      <c r="AS139" s="16"/>
      <c r="AT139" s="16"/>
    </row>
    <row r="140" spans="2:46" x14ac:dyDescent="0.3">
      <c r="B140" s="42">
        <v>44166</v>
      </c>
      <c r="C140" s="37">
        <f t="shared" si="64"/>
        <v>28.690420237077944</v>
      </c>
      <c r="D140" s="37">
        <f t="shared" si="65"/>
        <v>31.309432446155935</v>
      </c>
      <c r="E140" s="16"/>
      <c r="F140" s="38">
        <v>3000</v>
      </c>
      <c r="G140" s="38">
        <v>1970</v>
      </c>
      <c r="H140" s="37">
        <f>(F140-237)*100/20273</f>
        <v>13.628964632762788</v>
      </c>
      <c r="I140" s="37">
        <f t="shared" ref="I140:I141" si="67">((G140-103)-352)*100/217740</f>
        <v>0.69578396252411134</v>
      </c>
      <c r="J140" s="37">
        <f t="shared" ref="J140:J141" si="68">(G140-430)*100/10720</f>
        <v>14.365671641791044</v>
      </c>
      <c r="K140" s="35"/>
      <c r="L140" s="38">
        <v>2940</v>
      </c>
      <c r="M140" s="38">
        <f>'AMPE-MCVE'!N77</f>
        <v>684.94331065759638</v>
      </c>
      <c r="N140" s="38">
        <f t="shared" ref="N140:N141" si="69">F140-300</f>
        <v>2700</v>
      </c>
      <c r="O140" s="37">
        <f t="shared" ref="O140:O142" si="70">(L140-322)*100/9300</f>
        <v>28.150537634408604</v>
      </c>
      <c r="P140" s="37">
        <f t="shared" ref="P140:P141" si="71">(M140-340)*100/17000</f>
        <v>2.029078297985861</v>
      </c>
      <c r="Q140" s="37">
        <f t="shared" ref="Q140:Q141" si="72">(N140-237)*100/218000</f>
        <v>1.129816513761468</v>
      </c>
      <c r="R140" s="16"/>
      <c r="S140" s="16"/>
      <c r="T140" s="16"/>
      <c r="U140" s="16"/>
      <c r="V140" s="16"/>
      <c r="W140" s="16"/>
      <c r="X140" s="16"/>
      <c r="Y140" s="16"/>
      <c r="Z140" s="16"/>
      <c r="AA140" s="16"/>
      <c r="AB140" s="16"/>
      <c r="AC140" s="16"/>
      <c r="AD140" s="16"/>
      <c r="AE140" s="16"/>
      <c r="AF140" s="16"/>
      <c r="AG140" s="16"/>
      <c r="AH140" s="16"/>
      <c r="AI140" s="16"/>
      <c r="AJ140" s="16"/>
      <c r="AK140" s="16"/>
      <c r="AL140" s="16"/>
      <c r="AM140" s="16"/>
      <c r="AN140" s="16"/>
      <c r="AO140" s="16"/>
      <c r="AP140" s="16"/>
      <c r="AQ140" s="16"/>
      <c r="AR140" s="16"/>
      <c r="AS140" s="16"/>
      <c r="AT140" s="16"/>
    </row>
    <row r="141" spans="2:46" x14ac:dyDescent="0.3">
      <c r="B141" s="41">
        <v>44197</v>
      </c>
      <c r="C141" s="34">
        <f t="shared" ref="C141:C142" si="73">H141+I141+J141</f>
        <v>29.671513889650754</v>
      </c>
      <c r="D141" s="34">
        <f t="shared" ref="D141:D142" si="74">O141+P141+Q141</f>
        <v>31.437099434786465</v>
      </c>
      <c r="E141" s="35"/>
      <c r="F141" s="36">
        <f>'AMPE-MCVE'!F78</f>
        <v>3060</v>
      </c>
      <c r="G141" s="36">
        <f>'AMPE-MCVE'!G78</f>
        <v>2040</v>
      </c>
      <c r="H141" s="34">
        <f t="shared" ref="H141" si="75">(F141-237)*100/20273</f>
        <v>13.924924776796725</v>
      </c>
      <c r="I141" s="34">
        <f t="shared" si="67"/>
        <v>0.72793239643611651</v>
      </c>
      <c r="J141" s="34">
        <f t="shared" si="68"/>
        <v>15.01865671641791</v>
      </c>
      <c r="K141" s="35"/>
      <c r="L141" s="36">
        <f>'AMPE-MCVE'!M78</f>
        <v>2940</v>
      </c>
      <c r="M141" s="36">
        <f>'AMPE-MCVE'!N78</f>
        <v>701.9677996422181</v>
      </c>
      <c r="N141" s="36">
        <f t="shared" si="69"/>
        <v>2760</v>
      </c>
      <c r="O141" s="34">
        <f t="shared" si="70"/>
        <v>28.150537634408604</v>
      </c>
      <c r="P141" s="34">
        <f t="shared" si="71"/>
        <v>2.1292223508365771</v>
      </c>
      <c r="Q141" s="34">
        <f t="shared" si="72"/>
        <v>1.1573394495412843</v>
      </c>
      <c r="R141" s="16"/>
      <c r="S141" s="16"/>
      <c r="T141" s="16"/>
      <c r="U141" s="16"/>
      <c r="V141" s="16"/>
      <c r="W141" s="16"/>
      <c r="X141" s="16"/>
      <c r="Y141" s="16"/>
      <c r="Z141" s="16"/>
      <c r="AA141" s="16"/>
      <c r="AB141" s="16"/>
      <c r="AC141" s="16"/>
      <c r="AD141" s="16"/>
      <c r="AE141" s="16"/>
      <c r="AF141" s="16"/>
      <c r="AG141" s="16"/>
      <c r="AH141" s="16"/>
      <c r="AI141" s="16"/>
      <c r="AJ141" s="16"/>
      <c r="AK141" s="16"/>
      <c r="AL141" s="16"/>
      <c r="AM141" s="16"/>
      <c r="AN141" s="16"/>
      <c r="AO141" s="16"/>
      <c r="AP141" s="16"/>
      <c r="AQ141" s="16"/>
      <c r="AR141" s="16"/>
      <c r="AS141" s="16"/>
      <c r="AT141" s="16"/>
    </row>
    <row r="142" spans="2:46" x14ac:dyDescent="0.3">
      <c r="B142" s="42">
        <v>44228</v>
      </c>
      <c r="C142" s="37">
        <f t="shared" si="73"/>
        <v>30.409082752218318</v>
      </c>
      <c r="D142" s="37">
        <f t="shared" si="74"/>
        <v>31.827701069711619</v>
      </c>
      <c r="E142" s="16"/>
      <c r="F142" s="38">
        <f>'AMPE-MCVE'!F79</f>
        <v>3150</v>
      </c>
      <c r="G142" s="38">
        <f>'AMPE-MCVE'!G79</f>
        <v>2070</v>
      </c>
      <c r="H142" s="37">
        <f>(F142-237)*100/20273</f>
        <v>14.36886499284763</v>
      </c>
      <c r="I142" s="37">
        <f t="shared" ref="I142:I143" si="76">((G142-103)-352)*100/217740</f>
        <v>0.7417102966841187</v>
      </c>
      <c r="J142" s="37">
        <f t="shared" ref="J142:J143" si="77">(G142-430)*100/10720</f>
        <v>15.298507462686567</v>
      </c>
      <c r="K142" s="35"/>
      <c r="L142" s="38">
        <f>'AMPE-MCVE'!M79</f>
        <v>2940</v>
      </c>
      <c r="M142" s="38">
        <f>'AMPE-MCVE'!N79</f>
        <v>761.35172895564097</v>
      </c>
      <c r="N142" s="38">
        <f t="shared" ref="N142:N143" si="78">F142-300</f>
        <v>2850</v>
      </c>
      <c r="O142" s="37">
        <f t="shared" si="70"/>
        <v>28.150537634408604</v>
      </c>
      <c r="P142" s="37">
        <f t="shared" ref="P142:P143" si="79">(M142-340)*100/17000</f>
        <v>2.4785395820920053</v>
      </c>
      <c r="Q142" s="37">
        <f t="shared" ref="Q142:Q143" si="80">(N142-237)*100/218000</f>
        <v>1.1986238532110092</v>
      </c>
      <c r="R142" s="16"/>
      <c r="S142" s="16"/>
      <c r="T142" s="16"/>
      <c r="U142" s="16"/>
      <c r="V142" s="16"/>
      <c r="W142" s="16"/>
      <c r="X142" s="16"/>
      <c r="Y142" s="16"/>
      <c r="Z142" s="16"/>
      <c r="AA142" s="16"/>
      <c r="AB142" s="16"/>
      <c r="AC142" s="16"/>
      <c r="AD142" s="16"/>
      <c r="AE142" s="16"/>
      <c r="AF142" s="16"/>
      <c r="AG142" s="16"/>
      <c r="AH142" s="16"/>
      <c r="AI142" s="16"/>
      <c r="AJ142" s="16"/>
      <c r="AK142" s="16"/>
      <c r="AL142" s="16"/>
      <c r="AM142" s="16"/>
      <c r="AN142" s="16"/>
      <c r="AO142" s="16"/>
      <c r="AP142" s="16"/>
      <c r="AQ142" s="16"/>
      <c r="AR142" s="16"/>
      <c r="AS142" s="16"/>
      <c r="AT142" s="16"/>
    </row>
    <row r="143" spans="2:46" x14ac:dyDescent="0.3">
      <c r="B143" s="41">
        <v>44256</v>
      </c>
      <c r="C143" s="34">
        <f t="shared" ref="C143:C144" si="81">H143+I143+J143</f>
        <v>32.083858737560014</v>
      </c>
      <c r="D143" s="34">
        <f t="shared" ref="D143:D144" si="82">O143+P143+Q143</f>
        <v>32.302135836355433</v>
      </c>
      <c r="E143" s="35"/>
      <c r="F143" s="36">
        <f>'AMPE-MCVE'!F80</f>
        <v>3430</v>
      </c>
      <c r="G143" s="36">
        <f>'AMPE-MCVE'!G80</f>
        <v>2100</v>
      </c>
      <c r="H143" s="34">
        <f t="shared" ref="H143" si="83">(F143-237)*100/20273</f>
        <v>15.750012331672668</v>
      </c>
      <c r="I143" s="34">
        <f t="shared" si="76"/>
        <v>0.75548819693212088</v>
      </c>
      <c r="J143" s="34">
        <f t="shared" si="77"/>
        <v>15.578358208955224</v>
      </c>
      <c r="K143" s="35"/>
      <c r="L143" s="36">
        <f>'AMPE-MCVE'!M80</f>
        <v>2960</v>
      </c>
      <c r="M143" s="36">
        <f>'AMPE-MCVE'!N80</f>
        <v>783.61163711482186</v>
      </c>
      <c r="N143" s="36">
        <f t="shared" si="78"/>
        <v>3130</v>
      </c>
      <c r="O143" s="34">
        <f t="shared" ref="O143:O144" si="84">(L143-322)*100/9300</f>
        <v>28.365591397849464</v>
      </c>
      <c r="P143" s="34">
        <f t="shared" si="79"/>
        <v>2.6094802183224814</v>
      </c>
      <c r="Q143" s="34">
        <f t="shared" si="80"/>
        <v>1.3270642201834861</v>
      </c>
      <c r="R143" s="16"/>
      <c r="S143" s="16"/>
      <c r="T143" s="16"/>
      <c r="U143" s="16"/>
      <c r="V143" s="16"/>
      <c r="W143" s="16"/>
      <c r="X143" s="16"/>
      <c r="Y143" s="16"/>
      <c r="Z143" s="16"/>
      <c r="AA143" s="16"/>
      <c r="AB143" s="16"/>
      <c r="AC143" s="16"/>
      <c r="AD143" s="16"/>
      <c r="AE143" s="16"/>
      <c r="AF143" s="16"/>
      <c r="AG143" s="16"/>
      <c r="AH143" s="16"/>
      <c r="AI143" s="16"/>
      <c r="AJ143" s="16"/>
      <c r="AK143" s="16"/>
      <c r="AL143" s="16"/>
      <c r="AM143" s="16"/>
      <c r="AN143" s="16"/>
      <c r="AO143" s="16"/>
      <c r="AP143" s="16"/>
      <c r="AQ143" s="16"/>
      <c r="AR143" s="16"/>
      <c r="AS143" s="16"/>
      <c r="AT143" s="16"/>
    </row>
    <row r="144" spans="2:46" x14ac:dyDescent="0.3">
      <c r="B144" s="42">
        <v>44287</v>
      </c>
      <c r="C144" s="37">
        <f t="shared" si="81"/>
        <v>32.671893196432421</v>
      </c>
      <c r="D144" s="37">
        <f t="shared" si="82"/>
        <v>32.80046318068387</v>
      </c>
      <c r="E144" s="16"/>
      <c r="F144" s="38">
        <f>'AMPE-MCVE'!F81</f>
        <v>3450</v>
      </c>
      <c r="G144" s="38">
        <f>'AMPE-MCVE'!G81</f>
        <v>2150</v>
      </c>
      <c r="H144" s="37">
        <f>(F144-237)*100/20273</f>
        <v>15.848665713017313</v>
      </c>
      <c r="I144" s="37">
        <f t="shared" ref="I144:I145" si="85">((G144-103)-352)*100/217740</f>
        <v>0.77845136401212456</v>
      </c>
      <c r="J144" s="37">
        <f t="shared" ref="J144:J145" si="86">(G144-430)*100/10720</f>
        <v>16.044776119402986</v>
      </c>
      <c r="K144" s="35"/>
      <c r="L144" s="38">
        <f>'AMPE-MCVE'!M81</f>
        <v>2980</v>
      </c>
      <c r="M144" s="38">
        <f>'AMPE-MCVE'!N81</f>
        <v>830.20851283818706</v>
      </c>
      <c r="N144" s="38">
        <f t="shared" ref="N144:N145" si="87">F144-300</f>
        <v>3150</v>
      </c>
      <c r="O144" s="37">
        <f t="shared" si="84"/>
        <v>28.580645161290324</v>
      </c>
      <c r="P144" s="37">
        <f t="shared" ref="P144:P145" si="88">(M144-340)*100/17000</f>
        <v>2.8835794872834533</v>
      </c>
      <c r="Q144" s="37">
        <f t="shared" ref="Q144:Q145" si="89">(N144-237)*100/218000</f>
        <v>1.3362385321100918</v>
      </c>
      <c r="R144" s="16"/>
      <c r="S144" s="16"/>
      <c r="T144" s="16"/>
      <c r="U144" s="16"/>
      <c r="V144" s="16"/>
      <c r="W144" s="16"/>
      <c r="X144" s="16"/>
      <c r="Y144" s="16"/>
      <c r="Z144" s="16"/>
      <c r="AA144" s="16"/>
      <c r="AB144" s="16"/>
      <c r="AC144" s="16"/>
      <c r="AD144" s="16"/>
      <c r="AE144" s="16"/>
      <c r="AF144" s="16"/>
      <c r="AG144" s="16"/>
      <c r="AH144" s="16"/>
      <c r="AI144" s="16"/>
      <c r="AJ144" s="16"/>
      <c r="AK144" s="16"/>
      <c r="AL144" s="16"/>
      <c r="AM144" s="16"/>
      <c r="AN144" s="16"/>
      <c r="AO144" s="16"/>
      <c r="AP144" s="16"/>
      <c r="AQ144" s="16"/>
      <c r="AR144" s="16"/>
      <c r="AS144" s="16"/>
      <c r="AT144" s="16"/>
    </row>
    <row r="145" spans="2:46" x14ac:dyDescent="0.3">
      <c r="B145" s="41">
        <v>44317</v>
      </c>
      <c r="C145" s="34">
        <f t="shared" ref="C145:C146" si="90">H145+I145+J145</f>
        <v>32.765883582742511</v>
      </c>
      <c r="D145" s="34">
        <f t="shared" ref="D145:D146" si="91">O145+P145+Q145</f>
        <v>32.941693933458218</v>
      </c>
      <c r="E145" s="35"/>
      <c r="F145" s="36">
        <f>'AMPE-MCVE'!F82</f>
        <v>3350</v>
      </c>
      <c r="G145" s="36">
        <f>'AMPE-MCVE'!G82</f>
        <v>2210</v>
      </c>
      <c r="H145" s="34">
        <f t="shared" ref="H145" si="92">(F145-237)*100/20273</f>
        <v>15.355398806294085</v>
      </c>
      <c r="I145" s="34">
        <f t="shared" si="85"/>
        <v>0.80600716450812893</v>
      </c>
      <c r="J145" s="34">
        <f t="shared" si="86"/>
        <v>16.604477611940297</v>
      </c>
      <c r="K145" s="35"/>
      <c r="L145" s="36">
        <f>'AMPE-MCVE'!M82</f>
        <v>2980</v>
      </c>
      <c r="M145" s="36">
        <f>'AMPE-MCVE'!N82</f>
        <v>862.01590594744118</v>
      </c>
      <c r="N145" s="36">
        <f t="shared" si="87"/>
        <v>3050</v>
      </c>
      <c r="O145" s="34">
        <f t="shared" ref="O145:O146" si="93">(L145-322)*100/9300</f>
        <v>28.580645161290324</v>
      </c>
      <c r="P145" s="34">
        <f t="shared" si="88"/>
        <v>3.0706817996908304</v>
      </c>
      <c r="Q145" s="34">
        <f t="shared" si="89"/>
        <v>1.2903669724770641</v>
      </c>
      <c r="R145" s="16"/>
      <c r="S145" s="16"/>
      <c r="T145" s="16"/>
      <c r="U145" s="16"/>
      <c r="V145" s="16"/>
      <c r="W145" s="16"/>
      <c r="X145" s="16"/>
      <c r="Y145" s="16"/>
      <c r="Z145" s="16"/>
      <c r="AA145" s="16"/>
      <c r="AB145" s="16"/>
      <c r="AC145" s="16"/>
      <c r="AD145" s="16"/>
      <c r="AE145" s="16"/>
      <c r="AF145" s="16"/>
      <c r="AG145" s="16"/>
      <c r="AH145" s="16"/>
      <c r="AI145" s="16"/>
      <c r="AJ145" s="16"/>
      <c r="AK145" s="16"/>
      <c r="AL145" s="16"/>
      <c r="AM145" s="16"/>
      <c r="AN145" s="16"/>
      <c r="AO145" s="16"/>
      <c r="AP145" s="16"/>
      <c r="AQ145" s="16"/>
      <c r="AR145" s="16"/>
      <c r="AS145" s="16"/>
      <c r="AT145" s="16"/>
    </row>
    <row r="146" spans="2:46" x14ac:dyDescent="0.3">
      <c r="B146" s="42">
        <v>44348</v>
      </c>
      <c r="C146" s="37">
        <f t="shared" si="90"/>
        <v>32.03064621769223</v>
      </c>
      <c r="D146" s="37">
        <f t="shared" si="91"/>
        <v>32.952911639944524</v>
      </c>
      <c r="E146" s="16"/>
      <c r="F146" s="38">
        <f>'AMPE-MCVE'!F83</f>
        <v>3320</v>
      </c>
      <c r="G146" s="38">
        <f>'AMPE-MCVE'!G83</f>
        <v>2150</v>
      </c>
      <c r="H146" s="37">
        <f>(F146-237)*100/20273</f>
        <v>15.207418734277118</v>
      </c>
      <c r="I146" s="37">
        <f t="shared" ref="I146:I147" si="94">((G146-103)-352)*100/217740</f>
        <v>0.77845136401212456</v>
      </c>
      <c r="J146" s="37">
        <f t="shared" ref="J146:J147" si="95">(G146-430)*100/10720</f>
        <v>16.044776119402986</v>
      </c>
      <c r="K146" s="35"/>
      <c r="L146" s="38">
        <f>'AMPE-MCVE'!M83</f>
        <v>2980</v>
      </c>
      <c r="M146" s="38">
        <f>'AMPE-MCVE'!N83</f>
        <v>866.26236559139772</v>
      </c>
      <c r="N146" s="38">
        <f t="shared" ref="N146:N147" si="96">F146-300</f>
        <v>3020</v>
      </c>
      <c r="O146" s="37">
        <f t="shared" si="93"/>
        <v>28.580645161290324</v>
      </c>
      <c r="P146" s="37">
        <f t="shared" ref="P146:P147" si="97">(M146-340)*100/17000</f>
        <v>3.0956609740670458</v>
      </c>
      <c r="Q146" s="37">
        <f t="shared" ref="Q146:Q147" si="98">(N146-237)*100/218000</f>
        <v>1.276605504587156</v>
      </c>
      <c r="R146" s="16"/>
      <c r="S146" s="16"/>
      <c r="T146" s="16"/>
      <c r="U146" s="16"/>
      <c r="V146" s="16"/>
      <c r="W146" s="16"/>
      <c r="X146" s="16"/>
      <c r="Y146" s="16"/>
      <c r="Z146" s="16"/>
      <c r="AA146" s="16"/>
      <c r="AB146" s="16"/>
      <c r="AC146" s="16"/>
      <c r="AD146" s="16"/>
      <c r="AE146" s="16"/>
      <c r="AF146" s="16"/>
      <c r="AG146" s="16"/>
      <c r="AH146" s="16"/>
      <c r="AI146" s="16"/>
      <c r="AJ146" s="16"/>
      <c r="AK146" s="16"/>
      <c r="AL146" s="16"/>
      <c r="AM146" s="16"/>
      <c r="AN146" s="16"/>
      <c r="AO146" s="16"/>
      <c r="AP146" s="16"/>
      <c r="AQ146" s="16"/>
      <c r="AR146" s="16"/>
      <c r="AS146" s="16"/>
      <c r="AT146" s="16"/>
    </row>
    <row r="147" spans="2:46" x14ac:dyDescent="0.3">
      <c r="B147" s="41">
        <v>44378</v>
      </c>
      <c r="C147" s="34">
        <f t="shared" ref="C147:C148" si="99">H147+I147+J147</f>
        <v>31.195201139619108</v>
      </c>
      <c r="D147" s="34">
        <f t="shared" ref="D147:D148" si="100">O147+P147+Q147</f>
        <v>32.764072047731837</v>
      </c>
      <c r="E147" s="35"/>
      <c r="F147" s="36">
        <f>'AMPE-MCVE'!F84</f>
        <v>3230</v>
      </c>
      <c r="G147" s="36">
        <f>'AMPE-MCVE'!G84</f>
        <v>2110</v>
      </c>
      <c r="H147" s="34">
        <f t="shared" ref="H147" si="101">(F147-237)*100/20273</f>
        <v>14.763478518226211</v>
      </c>
      <c r="I147" s="34">
        <f t="shared" si="94"/>
        <v>0.76008083034812157</v>
      </c>
      <c r="J147" s="34">
        <f t="shared" si="95"/>
        <v>15.671641791044776</v>
      </c>
      <c r="K147" s="35"/>
      <c r="L147" s="36">
        <f>'AMPE-MCVE'!M84</f>
        <v>2980</v>
      </c>
      <c r="M147" s="36">
        <f>'AMPE-MCVE'!N84</f>
        <v>841.17798353909461</v>
      </c>
      <c r="N147" s="36">
        <f t="shared" si="96"/>
        <v>2930</v>
      </c>
      <c r="O147" s="34">
        <f t="shared" ref="O147:O148" si="102">(L147-322)*100/9300</f>
        <v>28.580645161290324</v>
      </c>
      <c r="P147" s="34">
        <f t="shared" si="97"/>
        <v>2.9481057855240862</v>
      </c>
      <c r="Q147" s="34">
        <f t="shared" si="98"/>
        <v>1.2353211009174312</v>
      </c>
      <c r="R147" s="16"/>
      <c r="S147" s="16"/>
      <c r="T147" s="16"/>
      <c r="U147" s="16"/>
      <c r="V147" s="16"/>
      <c r="W147" s="16"/>
      <c r="X147" s="16"/>
      <c r="Y147" s="16"/>
      <c r="Z147" s="16"/>
      <c r="AA147" s="16"/>
      <c r="AB147" s="16"/>
      <c r="AC147" s="16"/>
      <c r="AD147" s="16"/>
      <c r="AE147" s="16"/>
      <c r="AF147" s="16"/>
      <c r="AG147" s="16"/>
      <c r="AH147" s="16"/>
      <c r="AI147" s="16"/>
      <c r="AJ147" s="16"/>
      <c r="AK147" s="16"/>
      <c r="AL147" s="16"/>
      <c r="AM147" s="16"/>
      <c r="AN147" s="16"/>
      <c r="AO147" s="16"/>
      <c r="AP147" s="16"/>
      <c r="AQ147" s="16"/>
      <c r="AR147" s="16"/>
      <c r="AS147" s="16"/>
      <c r="AT147" s="16"/>
    </row>
    <row r="148" spans="2:46" x14ac:dyDescent="0.3">
      <c r="B148" s="42">
        <v>44409</v>
      </c>
      <c r="C148" s="37">
        <f t="shared" si="99"/>
        <v>31.686913714664151</v>
      </c>
      <c r="D148" s="37">
        <f t="shared" si="100"/>
        <v>32.790817277591131</v>
      </c>
      <c r="E148" s="16"/>
      <c r="F148" s="38">
        <f>'AMPE-MCVE'!F85</f>
        <v>3290</v>
      </c>
      <c r="G148" s="38">
        <f>'AMPE-MCVE'!G85</f>
        <v>2130</v>
      </c>
      <c r="H148" s="37">
        <f>(F148-237)*100/20273</f>
        <v>15.059438662260149</v>
      </c>
      <c r="I148" s="37">
        <f t="shared" ref="I148:I149" si="103">((G148-103)-352)*100/217740</f>
        <v>0.76926609718012307</v>
      </c>
      <c r="J148" s="37">
        <f t="shared" ref="J148:J149" si="104">(G148-430)*100/10720</f>
        <v>15.85820895522388</v>
      </c>
      <c r="K148" s="35"/>
      <c r="L148" s="38">
        <f>'AMPE-MCVE'!M85</f>
        <v>3000</v>
      </c>
      <c r="M148" s="38">
        <f>'AMPE-MCVE'!N85</f>
        <v>804.48663374765874</v>
      </c>
      <c r="N148" s="38">
        <f t="shared" ref="N148:N149" si="105">F148-300</f>
        <v>2990</v>
      </c>
      <c r="O148" s="37">
        <f t="shared" si="102"/>
        <v>28.795698924731184</v>
      </c>
      <c r="P148" s="37">
        <f t="shared" ref="P148:P149" si="106">(M148-340)*100/17000</f>
        <v>2.7322743161626986</v>
      </c>
      <c r="Q148" s="37">
        <f t="shared" ref="Q148:Q149" si="107">(N148-237)*100/218000</f>
        <v>1.2628440366972478</v>
      </c>
      <c r="R148" s="16"/>
      <c r="S148" s="16"/>
      <c r="T148" s="16"/>
      <c r="U148" s="16"/>
      <c r="V148" s="16"/>
      <c r="W148" s="16"/>
      <c r="X148" s="16"/>
      <c r="Y148" s="16"/>
      <c r="Z148" s="16"/>
      <c r="AA148" s="16"/>
      <c r="AB148" s="16"/>
      <c r="AC148" s="16"/>
      <c r="AD148" s="16"/>
      <c r="AE148" s="16"/>
      <c r="AF148" s="16"/>
      <c r="AG148" s="16"/>
      <c r="AH148" s="16"/>
      <c r="AI148" s="16"/>
      <c r="AJ148" s="16"/>
      <c r="AK148" s="16"/>
      <c r="AL148" s="16"/>
      <c r="AM148" s="16"/>
      <c r="AN148" s="16"/>
      <c r="AO148" s="16"/>
      <c r="AP148" s="16"/>
      <c r="AQ148" s="16"/>
      <c r="AR148" s="16"/>
      <c r="AS148" s="16"/>
      <c r="AT148" s="16"/>
    </row>
    <row r="149" spans="2:46" x14ac:dyDescent="0.3">
      <c r="B149" s="41">
        <v>44440</v>
      </c>
      <c r="C149" s="34">
        <f t="shared" ref="C149:C150" si="108">H149+I149+J149</f>
        <v>33.405576229804524</v>
      </c>
      <c r="D149" s="34">
        <f t="shared" ref="D149:D150" si="109">O149+P149+Q149</f>
        <v>33.739677876627667</v>
      </c>
      <c r="E149" s="35"/>
      <c r="F149" s="36">
        <f>'AMPE-MCVE'!F86</f>
        <v>3440</v>
      </c>
      <c r="G149" s="36">
        <f>'AMPE-MCVE'!G86</f>
        <v>2230</v>
      </c>
      <c r="H149" s="34">
        <f t="shared" ref="H149" si="110">(F149-237)*100/20273</f>
        <v>15.799339022344991</v>
      </c>
      <c r="I149" s="34">
        <f t="shared" si="103"/>
        <v>0.81519243134013042</v>
      </c>
      <c r="J149" s="34">
        <f t="shared" si="104"/>
        <v>16.791044776119403</v>
      </c>
      <c r="K149" s="35"/>
      <c r="L149" s="36">
        <f>'AMPE-MCVE'!M86</f>
        <v>3070</v>
      </c>
      <c r="M149" s="36">
        <f>'AMPE-MCVE'!N86</f>
        <v>826.13869863013701</v>
      </c>
      <c r="N149" s="36">
        <f t="shared" si="105"/>
        <v>3140</v>
      </c>
      <c r="O149" s="34">
        <f t="shared" ref="O149:O150" si="111">(L149-322)*100/9300</f>
        <v>29.548387096774192</v>
      </c>
      <c r="P149" s="34">
        <f t="shared" si="106"/>
        <v>2.8596394037066881</v>
      </c>
      <c r="Q149" s="34">
        <f t="shared" si="107"/>
        <v>1.331651376146789</v>
      </c>
      <c r="R149" s="16"/>
      <c r="S149" s="16"/>
      <c r="T149" s="16"/>
      <c r="U149" s="16"/>
      <c r="V149" s="16"/>
      <c r="W149" s="16"/>
      <c r="X149" s="16"/>
      <c r="Y149" s="16"/>
      <c r="Z149" s="16"/>
      <c r="AA149" s="16"/>
      <c r="AB149" s="16"/>
      <c r="AC149" s="16"/>
      <c r="AD149" s="16"/>
      <c r="AE149" s="16"/>
      <c r="AF149" s="16"/>
      <c r="AG149" s="16"/>
      <c r="AH149" s="16"/>
      <c r="AI149" s="16"/>
      <c r="AJ149" s="16"/>
      <c r="AK149" s="16"/>
      <c r="AL149" s="16"/>
      <c r="AM149" s="16"/>
      <c r="AN149" s="16"/>
      <c r="AO149" s="16"/>
      <c r="AP149" s="16"/>
      <c r="AQ149" s="16"/>
      <c r="AR149" s="16"/>
      <c r="AS149" s="16"/>
      <c r="AT149" s="16"/>
    </row>
    <row r="150" spans="2:46" x14ac:dyDescent="0.3">
      <c r="B150" s="42">
        <v>44470</v>
      </c>
      <c r="C150" s="37">
        <f t="shared" si="108"/>
        <v>36.06144586771903</v>
      </c>
      <c r="D150" s="37">
        <f t="shared" si="109"/>
        <v>35.820341317941796</v>
      </c>
      <c r="E150" s="16"/>
      <c r="F150" s="38">
        <f>'AMPE-MCVE'!F87</f>
        <v>3780</v>
      </c>
      <c r="G150" s="38">
        <f>'AMPE-MCVE'!G87</f>
        <v>2330</v>
      </c>
      <c r="H150" s="37">
        <f>(F150-237)*100/20273</f>
        <v>17.476446505203967</v>
      </c>
      <c r="I150" s="37">
        <f t="shared" ref="I150:I151" si="112">((G150-103)-352)*100/217740</f>
        <v>0.86111876550013777</v>
      </c>
      <c r="J150" s="37">
        <f t="shared" ref="J150:J151" si="113">(G150-430)*100/10720</f>
        <v>17.723880597014926</v>
      </c>
      <c r="K150" s="35"/>
      <c r="L150" s="38">
        <f>'AMPE-MCVE'!M87</f>
        <v>3240</v>
      </c>
      <c r="M150" s="38">
        <f>'AMPE-MCVE'!N87</f>
        <v>842.58503401360554</v>
      </c>
      <c r="N150" s="38">
        <f t="shared" ref="N150:N151" si="114">F150-300</f>
        <v>3480</v>
      </c>
      <c r="O150" s="37">
        <f t="shared" si="111"/>
        <v>31.376344086021504</v>
      </c>
      <c r="P150" s="37">
        <f t="shared" ref="P150:P151" si="115">(M150-340)*100/17000</f>
        <v>2.9563825530212089</v>
      </c>
      <c r="Q150" s="37">
        <f t="shared" ref="Q150:Q151" si="116">(N150-237)*100/218000</f>
        <v>1.4876146788990825</v>
      </c>
      <c r="R150" s="16"/>
      <c r="S150" s="16"/>
      <c r="T150" s="16"/>
      <c r="U150" s="16"/>
      <c r="V150" s="16"/>
      <c r="W150" s="16"/>
      <c r="X150" s="16"/>
      <c r="Y150" s="16"/>
      <c r="Z150" s="16"/>
      <c r="AA150" s="16"/>
      <c r="AB150" s="16"/>
      <c r="AC150" s="16"/>
      <c r="AD150" s="16"/>
      <c r="AE150" s="16"/>
      <c r="AF150" s="16"/>
      <c r="AG150" s="16"/>
      <c r="AH150" s="16"/>
      <c r="AI150" s="16"/>
      <c r="AJ150" s="16"/>
      <c r="AK150" s="16"/>
      <c r="AL150" s="16"/>
      <c r="AM150" s="16"/>
      <c r="AN150" s="16"/>
      <c r="AO150" s="16"/>
      <c r="AP150" s="16"/>
      <c r="AQ150" s="16"/>
      <c r="AR150" s="16"/>
      <c r="AS150" s="16"/>
      <c r="AT150" s="16"/>
    </row>
    <row r="151" spans="2:46" x14ac:dyDescent="0.3">
      <c r="B151" s="41">
        <v>44501</v>
      </c>
      <c r="C151" s="34">
        <f t="shared" ref="C151:C152" si="117">H151+I151+J151</f>
        <v>41.663705126708329</v>
      </c>
      <c r="D151" s="34">
        <f t="shared" ref="D151:D152" si="118">O151+P151+Q151</f>
        <v>38.411214556209323</v>
      </c>
      <c r="E151" s="35"/>
      <c r="F151" s="36">
        <f>'AMPE-MCVE'!F88</f>
        <v>4380</v>
      </c>
      <c r="G151" s="36">
        <f>'AMPE-MCVE'!G88</f>
        <v>2600</v>
      </c>
      <c r="H151" s="34">
        <f t="shared" ref="H151" si="119">(F151-237)*100/20273</f>
        <v>20.436047945543333</v>
      </c>
      <c r="I151" s="34">
        <f t="shared" si="112"/>
        <v>0.98511986773215765</v>
      </c>
      <c r="J151" s="34">
        <f t="shared" si="113"/>
        <v>20.242537313432837</v>
      </c>
      <c r="K151" s="35"/>
      <c r="L151" s="36">
        <f>'AMPE-MCVE'!M88</f>
        <v>3440</v>
      </c>
      <c r="M151" s="36">
        <f>'AMPE-MCVE'!N88</f>
        <v>870.65309584393549</v>
      </c>
      <c r="N151" s="36">
        <f t="shared" si="114"/>
        <v>4080</v>
      </c>
      <c r="O151" s="34">
        <f t="shared" ref="O151:O152" si="120">(L151-322)*100/9300</f>
        <v>33.526881720430104</v>
      </c>
      <c r="P151" s="34">
        <f t="shared" si="115"/>
        <v>3.1214887990819737</v>
      </c>
      <c r="Q151" s="34">
        <f t="shared" si="116"/>
        <v>1.7628440366972478</v>
      </c>
      <c r="R151" s="16"/>
      <c r="S151" s="16"/>
      <c r="T151" s="16"/>
      <c r="U151" s="16"/>
      <c r="V151" s="16"/>
      <c r="W151" s="16"/>
      <c r="X151" s="16"/>
      <c r="Y151" s="16"/>
      <c r="Z151" s="16"/>
      <c r="AA151" s="16"/>
      <c r="AB151" s="16"/>
      <c r="AC151" s="16"/>
      <c r="AD151" s="16"/>
      <c r="AE151" s="16"/>
      <c r="AF151" s="16"/>
      <c r="AG151" s="16"/>
      <c r="AH151" s="16"/>
      <c r="AI151" s="16"/>
      <c r="AJ151" s="16"/>
      <c r="AK151" s="16"/>
      <c r="AL151" s="16"/>
      <c r="AM151" s="16"/>
      <c r="AN151" s="16"/>
      <c r="AO151" s="16"/>
      <c r="AP151" s="16"/>
      <c r="AQ151" s="16"/>
      <c r="AR151" s="16"/>
      <c r="AS151" s="16"/>
      <c r="AT151" s="16"/>
    </row>
    <row r="152" spans="2:46" x14ac:dyDescent="0.3">
      <c r="B152" s="42">
        <v>44531</v>
      </c>
      <c r="C152" s="37">
        <f t="shared" si="117"/>
        <v>44.512995698116654</v>
      </c>
      <c r="D152" s="37">
        <f t="shared" si="118"/>
        <v>40.629008750544443</v>
      </c>
      <c r="E152" s="16"/>
      <c r="F152" s="38">
        <f>'AMPE-MCVE'!F89</f>
        <v>4660</v>
      </c>
      <c r="G152" s="38">
        <f>'AMPE-MCVE'!G89</f>
        <v>2750</v>
      </c>
      <c r="H152" s="37">
        <f>(F152-237)*100/20273</f>
        <v>21.817195284368371</v>
      </c>
      <c r="I152" s="37">
        <f t="shared" ref="I152:I153" si="121">((G152-103)-352)*100/217740</f>
        <v>1.0540093689721686</v>
      </c>
      <c r="J152" s="37">
        <f t="shared" ref="J152:J153" si="122">(G152-430)*100/10720</f>
        <v>21.64179104477612</v>
      </c>
      <c r="K152" s="35"/>
      <c r="L152" s="38">
        <f>'AMPE-MCVE'!M89</f>
        <v>3600</v>
      </c>
      <c r="M152" s="38">
        <f>'AMPE-MCVE'!N89</f>
        <v>933.37012821601434</v>
      </c>
      <c r="N152" s="38">
        <f t="shared" ref="N152:N153" si="123">F152-300</f>
        <v>4360</v>
      </c>
      <c r="O152" s="37">
        <f t="shared" si="120"/>
        <v>35.247311827956992</v>
      </c>
      <c r="P152" s="37">
        <f t="shared" ref="P152:P153" si="124">(M152-340)*100/17000</f>
        <v>3.4904125189177315</v>
      </c>
      <c r="Q152" s="37">
        <f t="shared" ref="Q152:Q153" si="125">(N152-237)*100/218000</f>
        <v>1.8912844036697247</v>
      </c>
      <c r="R152" s="16"/>
      <c r="S152" s="16"/>
      <c r="T152" s="16"/>
      <c r="U152" s="16"/>
      <c r="V152" s="16"/>
      <c r="W152" s="16"/>
      <c r="X152" s="16"/>
      <c r="Y152" s="16"/>
      <c r="Z152" s="16"/>
      <c r="AA152" s="16"/>
      <c r="AB152" s="16"/>
      <c r="AC152" s="16"/>
      <c r="AD152" s="16"/>
      <c r="AE152" s="16"/>
      <c r="AF152" s="16"/>
      <c r="AG152" s="16"/>
      <c r="AH152" s="16"/>
      <c r="AI152" s="16"/>
      <c r="AJ152" s="16"/>
      <c r="AK152" s="16"/>
      <c r="AL152" s="16"/>
      <c r="AM152" s="16"/>
      <c r="AN152" s="16"/>
      <c r="AO152" s="16"/>
      <c r="AP152" s="16"/>
      <c r="AQ152" s="16"/>
      <c r="AR152" s="16"/>
      <c r="AS152" s="16"/>
      <c r="AT152" s="16"/>
    </row>
    <row r="153" spans="2:46" x14ac:dyDescent="0.3">
      <c r="B153" s="41">
        <v>44562</v>
      </c>
      <c r="C153" s="34">
        <f t="shared" ref="C153" si="126">H153+I153+J153</f>
        <v>47.065548959651963</v>
      </c>
      <c r="D153" s="34">
        <f t="shared" ref="D153" si="127">O153+P153+Q153</f>
        <v>42.718982781769256</v>
      </c>
      <c r="E153" s="35"/>
      <c r="F153" s="36">
        <f>'AMPE-MCVE'!F90</f>
        <v>4860</v>
      </c>
      <c r="G153" s="36">
        <f>'AMPE-MCVE'!G90</f>
        <v>2910</v>
      </c>
      <c r="H153" s="34">
        <f t="shared" ref="H153" si="128">(F153-237)*100/20273</f>
        <v>22.803729097814827</v>
      </c>
      <c r="I153" s="34">
        <f t="shared" si="121"/>
        <v>1.1274915036281803</v>
      </c>
      <c r="J153" s="34">
        <f t="shared" si="122"/>
        <v>23.134328358208954</v>
      </c>
      <c r="K153" s="35"/>
      <c r="L153" s="36">
        <f>'AMPE-MCVE'!M90</f>
        <v>3760</v>
      </c>
      <c r="M153" s="36">
        <f>'AMPE-MCVE'!N90</f>
        <v>980.59626496943315</v>
      </c>
      <c r="N153" s="36">
        <f t="shared" si="123"/>
        <v>4560</v>
      </c>
      <c r="O153" s="34">
        <f t="shared" ref="O153" si="129">(L153-322)*100/9300</f>
        <v>36.967741935483872</v>
      </c>
      <c r="P153" s="34">
        <f t="shared" si="124"/>
        <v>3.7682133233496069</v>
      </c>
      <c r="Q153" s="34">
        <f t="shared" si="125"/>
        <v>1.9830275229357799</v>
      </c>
      <c r="R153" s="16"/>
      <c r="S153" s="16"/>
      <c r="T153" s="16"/>
      <c r="U153" s="16"/>
      <c r="V153" s="16"/>
      <c r="W153" s="16"/>
      <c r="X153" s="16"/>
      <c r="Y153" s="16"/>
      <c r="Z153" s="16"/>
      <c r="AA153" s="16"/>
      <c r="AB153" s="16"/>
      <c r="AC153" s="16"/>
      <c r="AD153" s="16"/>
      <c r="AE153" s="16"/>
      <c r="AF153" s="16"/>
      <c r="AG153" s="16"/>
      <c r="AH153" s="16"/>
      <c r="AI153" s="16"/>
      <c r="AJ153" s="16"/>
      <c r="AK153" s="16"/>
      <c r="AL153" s="16"/>
      <c r="AM153" s="16"/>
      <c r="AN153" s="16"/>
      <c r="AO153" s="16"/>
      <c r="AP153" s="16"/>
      <c r="AQ153" s="16"/>
      <c r="AR153" s="16"/>
      <c r="AS153" s="16"/>
      <c r="AT153" s="16"/>
    </row>
    <row r="154" spans="2:46" x14ac:dyDescent="0.3">
      <c r="B154" s="16"/>
      <c r="C154" s="16"/>
      <c r="D154" s="16"/>
      <c r="E154" s="16"/>
      <c r="F154" s="24"/>
      <c r="G154" s="24"/>
      <c r="H154" s="24"/>
      <c r="I154" s="24"/>
      <c r="J154" s="24"/>
      <c r="K154" s="16"/>
      <c r="L154" s="16"/>
      <c r="M154" s="16"/>
      <c r="N154" s="16"/>
      <c r="O154" s="16"/>
      <c r="P154" s="16"/>
      <c r="Q154" s="16"/>
      <c r="R154" s="16"/>
      <c r="S154" s="16"/>
      <c r="T154" s="16"/>
      <c r="U154" s="16"/>
      <c r="V154" s="16"/>
      <c r="W154" s="16"/>
      <c r="X154" s="16"/>
      <c r="Y154" s="16"/>
      <c r="Z154" s="16"/>
      <c r="AA154" s="16"/>
      <c r="AB154" s="16"/>
      <c r="AC154" s="16"/>
      <c r="AD154" s="16"/>
      <c r="AE154" s="16"/>
      <c r="AF154" s="16"/>
      <c r="AG154" s="16"/>
      <c r="AH154" s="16"/>
      <c r="AI154" s="16"/>
      <c r="AJ154" s="16"/>
      <c r="AK154" s="16"/>
      <c r="AL154" s="16"/>
      <c r="AM154" s="16"/>
      <c r="AN154" s="16"/>
      <c r="AO154" s="16"/>
      <c r="AP154" s="16"/>
      <c r="AQ154" s="16"/>
      <c r="AR154" s="16"/>
      <c r="AS154" s="16"/>
      <c r="AT154" s="16"/>
    </row>
    <row r="155" spans="2:46" x14ac:dyDescent="0.3">
      <c r="B155" s="16"/>
      <c r="C155" s="16"/>
      <c r="D155" s="16"/>
      <c r="E155" s="16"/>
      <c r="F155" s="24"/>
      <c r="G155" s="24"/>
      <c r="H155" s="24"/>
      <c r="I155" s="24"/>
      <c r="J155" s="24"/>
      <c r="K155" s="16"/>
      <c r="L155" s="16"/>
      <c r="M155" s="16"/>
      <c r="N155" s="16"/>
      <c r="O155" s="16"/>
      <c r="P155" s="16"/>
      <c r="Q155" s="16"/>
      <c r="R155" s="16"/>
      <c r="S155" s="16"/>
      <c r="T155" s="16"/>
      <c r="U155" s="16"/>
      <c r="V155" s="16"/>
      <c r="W155" s="16"/>
      <c r="X155" s="16"/>
      <c r="Y155" s="16"/>
      <c r="Z155" s="16"/>
      <c r="AA155" s="16"/>
      <c r="AB155" s="16"/>
      <c r="AC155" s="16"/>
      <c r="AD155" s="16"/>
      <c r="AE155" s="16"/>
      <c r="AF155" s="16"/>
      <c r="AG155" s="16"/>
      <c r="AH155" s="16"/>
      <c r="AI155" s="16"/>
      <c r="AJ155" s="16"/>
      <c r="AK155" s="16"/>
      <c r="AL155" s="16"/>
      <c r="AM155" s="16"/>
      <c r="AN155" s="16"/>
      <c r="AO155" s="16"/>
      <c r="AP155" s="16"/>
      <c r="AQ155" s="16"/>
      <c r="AR155" s="16"/>
      <c r="AS155" s="16"/>
      <c r="AT155" s="16"/>
    </row>
    <row r="156" spans="2:46" x14ac:dyDescent="0.3">
      <c r="B156" s="16"/>
      <c r="C156" s="16"/>
      <c r="D156" s="16"/>
      <c r="E156" s="16"/>
      <c r="F156" s="24"/>
      <c r="G156" s="24"/>
      <c r="H156" s="24"/>
      <c r="I156" s="24"/>
      <c r="J156" s="24"/>
      <c r="K156" s="16"/>
      <c r="L156" s="16"/>
      <c r="M156" s="16"/>
      <c r="N156" s="16"/>
      <c r="O156" s="16"/>
      <c r="P156" s="16"/>
      <c r="Q156" s="16"/>
      <c r="R156" s="16"/>
      <c r="S156" s="16"/>
      <c r="T156" s="16"/>
      <c r="U156" s="16"/>
      <c r="V156" s="16"/>
      <c r="W156" s="16"/>
      <c r="X156" s="16"/>
      <c r="Y156" s="16"/>
      <c r="Z156" s="16"/>
      <c r="AA156" s="16"/>
      <c r="AB156" s="16"/>
      <c r="AC156" s="16"/>
      <c r="AD156" s="16"/>
      <c r="AE156" s="16"/>
      <c r="AF156" s="16"/>
      <c r="AG156" s="16"/>
      <c r="AH156" s="16"/>
      <c r="AI156" s="16"/>
      <c r="AJ156" s="16"/>
      <c r="AK156" s="16"/>
      <c r="AL156" s="16"/>
      <c r="AM156" s="16"/>
      <c r="AN156" s="16"/>
      <c r="AO156" s="16"/>
      <c r="AP156" s="16"/>
      <c r="AQ156" s="16"/>
      <c r="AR156" s="16"/>
      <c r="AS156" s="16"/>
      <c r="AT156" s="16"/>
    </row>
    <row r="157" spans="2:46" x14ac:dyDescent="0.3">
      <c r="B157" s="16"/>
      <c r="C157" s="16"/>
      <c r="D157" s="16"/>
      <c r="E157" s="16"/>
      <c r="F157" s="24"/>
      <c r="G157" s="24"/>
      <c r="H157" s="24"/>
      <c r="I157" s="24"/>
      <c r="J157" s="24"/>
      <c r="K157" s="16"/>
      <c r="L157" s="16"/>
      <c r="M157" s="16"/>
      <c r="N157" s="16"/>
      <c r="O157" s="16"/>
      <c r="P157" s="16"/>
      <c r="Q157" s="16"/>
      <c r="R157" s="16"/>
      <c r="S157" s="16"/>
      <c r="T157" s="16"/>
      <c r="U157" s="16"/>
      <c r="V157" s="16"/>
      <c r="W157" s="16"/>
      <c r="X157" s="16"/>
      <c r="Y157" s="16"/>
      <c r="Z157" s="16"/>
      <c r="AA157" s="16"/>
      <c r="AB157" s="16"/>
      <c r="AC157" s="16"/>
      <c r="AD157" s="16"/>
      <c r="AE157" s="16"/>
      <c r="AF157" s="16"/>
      <c r="AG157" s="16"/>
      <c r="AH157" s="16"/>
      <c r="AI157" s="16"/>
      <c r="AJ157" s="16"/>
      <c r="AK157" s="16"/>
      <c r="AL157" s="16"/>
      <c r="AM157" s="16"/>
      <c r="AN157" s="16"/>
      <c r="AO157" s="16"/>
      <c r="AP157" s="16"/>
      <c r="AQ157" s="16"/>
      <c r="AR157" s="16"/>
      <c r="AS157" s="16"/>
      <c r="AT157" s="16"/>
    </row>
    <row r="158" spans="2:46" x14ac:dyDescent="0.3">
      <c r="B158" s="16"/>
      <c r="C158" s="16"/>
      <c r="D158" s="16"/>
      <c r="E158" s="16"/>
      <c r="F158" s="24"/>
      <c r="G158" s="24"/>
      <c r="H158" s="24"/>
      <c r="I158" s="24"/>
      <c r="J158" s="24"/>
      <c r="K158" s="16"/>
      <c r="L158" s="16"/>
      <c r="M158" s="16"/>
      <c r="N158" s="16"/>
      <c r="O158" s="16"/>
      <c r="P158" s="16"/>
      <c r="Q158" s="16"/>
      <c r="R158" s="16"/>
      <c r="S158" s="16"/>
      <c r="T158" s="16"/>
      <c r="U158" s="16"/>
      <c r="V158" s="16"/>
      <c r="W158" s="16"/>
      <c r="X158" s="16"/>
      <c r="Y158" s="16"/>
      <c r="Z158" s="16"/>
      <c r="AA158" s="16"/>
      <c r="AB158" s="16"/>
      <c r="AC158" s="16"/>
      <c r="AD158" s="16"/>
      <c r="AE158" s="16"/>
      <c r="AF158" s="16"/>
      <c r="AG158" s="16"/>
      <c r="AH158" s="16"/>
      <c r="AI158" s="16"/>
      <c r="AJ158" s="16"/>
      <c r="AK158" s="16"/>
      <c r="AL158" s="16"/>
      <c r="AM158" s="16"/>
      <c r="AN158" s="16"/>
      <c r="AO158" s="16"/>
      <c r="AP158" s="16"/>
      <c r="AQ158" s="16"/>
      <c r="AR158" s="16"/>
      <c r="AS158" s="16"/>
      <c r="AT158" s="16"/>
    </row>
    <row r="159" spans="2:46" x14ac:dyDescent="0.3">
      <c r="B159" s="16"/>
      <c r="C159" s="16"/>
      <c r="D159" s="16"/>
      <c r="E159" s="16"/>
      <c r="F159" s="24"/>
      <c r="G159" s="24"/>
      <c r="H159" s="24"/>
      <c r="I159" s="24"/>
      <c r="J159" s="24"/>
      <c r="K159" s="16"/>
      <c r="L159" s="16"/>
      <c r="M159" s="16"/>
      <c r="N159" s="16"/>
      <c r="O159" s="16"/>
      <c r="P159" s="16"/>
      <c r="Q159" s="16"/>
      <c r="R159" s="16"/>
      <c r="S159" s="16"/>
      <c r="T159" s="16"/>
      <c r="U159" s="16"/>
      <c r="V159" s="16"/>
      <c r="W159" s="16"/>
      <c r="X159" s="16"/>
      <c r="Y159" s="16"/>
      <c r="Z159" s="16"/>
      <c r="AA159" s="16"/>
      <c r="AB159" s="16"/>
      <c r="AC159" s="16"/>
      <c r="AD159" s="16"/>
      <c r="AE159" s="16"/>
      <c r="AF159" s="16"/>
      <c r="AG159" s="16"/>
      <c r="AH159" s="16"/>
      <c r="AI159" s="16"/>
      <c r="AJ159" s="16"/>
      <c r="AK159" s="16"/>
      <c r="AL159" s="16"/>
      <c r="AM159" s="16"/>
      <c r="AN159" s="16"/>
      <c r="AO159" s="16"/>
      <c r="AP159" s="16"/>
      <c r="AQ159" s="16"/>
      <c r="AR159" s="16"/>
      <c r="AS159" s="16"/>
      <c r="AT159" s="16"/>
    </row>
    <row r="160" spans="2:46" x14ac:dyDescent="0.3">
      <c r="B160" s="16"/>
      <c r="C160" s="16"/>
      <c r="D160" s="16"/>
      <c r="E160" s="16"/>
      <c r="F160" s="24"/>
      <c r="G160" s="24"/>
      <c r="H160" s="24"/>
      <c r="I160" s="24"/>
      <c r="J160" s="24"/>
      <c r="K160" s="16"/>
      <c r="L160" s="16"/>
      <c r="M160" s="16"/>
      <c r="N160" s="16"/>
      <c r="O160" s="16"/>
      <c r="P160" s="16"/>
      <c r="Q160" s="16"/>
      <c r="R160" s="16"/>
      <c r="S160" s="16"/>
      <c r="T160" s="16"/>
      <c r="U160" s="16"/>
      <c r="V160" s="16"/>
      <c r="W160" s="16"/>
      <c r="X160" s="16"/>
      <c r="Y160" s="16"/>
      <c r="Z160" s="16"/>
      <c r="AA160" s="16"/>
      <c r="AB160" s="16"/>
      <c r="AC160" s="16"/>
      <c r="AD160" s="16"/>
      <c r="AE160" s="16"/>
      <c r="AF160" s="16"/>
      <c r="AG160" s="16"/>
      <c r="AH160" s="16"/>
      <c r="AI160" s="16"/>
      <c r="AJ160" s="16"/>
      <c r="AK160" s="16"/>
      <c r="AL160" s="16"/>
      <c r="AM160" s="16"/>
      <c r="AN160" s="16"/>
      <c r="AO160" s="16"/>
      <c r="AP160" s="16"/>
      <c r="AQ160" s="16"/>
      <c r="AR160" s="16"/>
      <c r="AS160" s="16"/>
      <c r="AT160" s="16"/>
    </row>
    <row r="161" spans="2:46" x14ac:dyDescent="0.3">
      <c r="B161" s="16"/>
      <c r="C161" s="16"/>
      <c r="D161" s="16"/>
      <c r="E161" s="16"/>
      <c r="F161" s="24"/>
      <c r="G161" s="24"/>
      <c r="H161" s="24"/>
      <c r="I161" s="24"/>
      <c r="J161" s="24"/>
      <c r="K161" s="16"/>
      <c r="L161" s="16"/>
      <c r="M161" s="16"/>
      <c r="N161" s="16"/>
      <c r="O161" s="16"/>
      <c r="P161" s="16"/>
      <c r="Q161" s="16"/>
      <c r="R161" s="16"/>
      <c r="S161" s="16"/>
      <c r="T161" s="16"/>
      <c r="U161" s="16"/>
      <c r="V161" s="16"/>
      <c r="W161" s="16"/>
      <c r="X161" s="16"/>
      <c r="Y161" s="16"/>
      <c r="Z161" s="16"/>
      <c r="AA161" s="16"/>
      <c r="AB161" s="16"/>
      <c r="AC161" s="16"/>
      <c r="AD161" s="16"/>
      <c r="AE161" s="16"/>
      <c r="AF161" s="16"/>
      <c r="AG161" s="16"/>
      <c r="AH161" s="16"/>
      <c r="AI161" s="16"/>
      <c r="AJ161" s="16"/>
      <c r="AK161" s="16"/>
      <c r="AL161" s="16"/>
      <c r="AM161" s="16"/>
      <c r="AN161" s="16"/>
      <c r="AO161" s="16"/>
      <c r="AP161" s="16"/>
      <c r="AQ161" s="16"/>
      <c r="AR161" s="16"/>
      <c r="AS161" s="16"/>
      <c r="AT161" s="16"/>
    </row>
    <row r="162" spans="2:46" x14ac:dyDescent="0.3">
      <c r="B162" s="16"/>
      <c r="C162" s="16"/>
      <c r="D162" s="16"/>
      <c r="E162" s="16"/>
      <c r="F162" s="24"/>
      <c r="G162" s="24"/>
      <c r="H162" s="24"/>
      <c r="I162" s="24"/>
      <c r="J162" s="24"/>
      <c r="K162" s="16"/>
      <c r="L162" s="16"/>
      <c r="M162" s="16"/>
      <c r="N162" s="16"/>
      <c r="O162" s="16"/>
      <c r="P162" s="16"/>
      <c r="Q162" s="16"/>
      <c r="R162" s="16"/>
      <c r="S162" s="16"/>
      <c r="T162" s="16"/>
      <c r="U162" s="16"/>
      <c r="V162" s="16"/>
      <c r="W162" s="16"/>
      <c r="X162" s="16"/>
      <c r="Y162" s="16"/>
      <c r="Z162" s="16"/>
      <c r="AA162" s="16"/>
      <c r="AB162" s="16"/>
      <c r="AC162" s="16"/>
      <c r="AD162" s="16"/>
      <c r="AE162" s="16"/>
      <c r="AF162" s="16"/>
      <c r="AG162" s="16"/>
      <c r="AH162" s="16"/>
      <c r="AI162" s="16"/>
      <c r="AJ162" s="16"/>
      <c r="AK162" s="16"/>
      <c r="AL162" s="16"/>
      <c r="AM162" s="16"/>
      <c r="AN162" s="16"/>
      <c r="AO162" s="16"/>
      <c r="AP162" s="16"/>
      <c r="AQ162" s="16"/>
      <c r="AR162" s="16"/>
      <c r="AS162" s="16"/>
      <c r="AT162" s="16"/>
    </row>
    <row r="163" spans="2:46" x14ac:dyDescent="0.3">
      <c r="B163" s="16"/>
      <c r="C163" s="16"/>
      <c r="D163" s="16"/>
      <c r="E163" s="16"/>
      <c r="F163" s="24"/>
      <c r="G163" s="24"/>
      <c r="H163" s="24"/>
      <c r="I163" s="24"/>
      <c r="J163" s="24"/>
      <c r="K163" s="16"/>
      <c r="L163" s="16"/>
      <c r="M163" s="16"/>
      <c r="N163" s="16"/>
      <c r="O163" s="16"/>
      <c r="P163" s="16"/>
      <c r="Q163" s="16"/>
      <c r="R163" s="16"/>
      <c r="S163" s="16"/>
      <c r="T163" s="16"/>
      <c r="U163" s="16"/>
      <c r="V163" s="16"/>
      <c r="W163" s="16"/>
      <c r="X163" s="16"/>
      <c r="Y163" s="16"/>
      <c r="Z163" s="16"/>
      <c r="AA163" s="16"/>
      <c r="AB163" s="16"/>
      <c r="AC163" s="16"/>
      <c r="AD163" s="16"/>
      <c r="AE163" s="16"/>
      <c r="AF163" s="16"/>
      <c r="AG163" s="16"/>
      <c r="AH163" s="16"/>
      <c r="AI163" s="16"/>
      <c r="AJ163" s="16"/>
      <c r="AK163" s="16"/>
      <c r="AL163" s="16"/>
      <c r="AM163" s="16"/>
      <c r="AN163" s="16"/>
      <c r="AO163" s="16"/>
      <c r="AP163" s="16"/>
      <c r="AQ163" s="16"/>
      <c r="AR163" s="16"/>
      <c r="AS163" s="16"/>
      <c r="AT163" s="16"/>
    </row>
    <row r="164" spans="2:46" x14ac:dyDescent="0.3">
      <c r="B164" s="16"/>
      <c r="C164" s="16"/>
      <c r="D164" s="16"/>
      <c r="E164" s="16"/>
      <c r="F164" s="24"/>
      <c r="G164" s="24"/>
      <c r="H164" s="24"/>
      <c r="I164" s="24"/>
      <c r="J164" s="24"/>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6"/>
      <c r="AJ164" s="16"/>
      <c r="AK164" s="16"/>
      <c r="AL164" s="16"/>
      <c r="AM164" s="16"/>
      <c r="AN164" s="16"/>
      <c r="AO164" s="16"/>
      <c r="AP164" s="16"/>
      <c r="AQ164" s="16"/>
      <c r="AR164" s="16"/>
      <c r="AS164" s="16"/>
      <c r="AT164" s="16"/>
    </row>
    <row r="165" spans="2:46" x14ac:dyDescent="0.3">
      <c r="B165" s="16"/>
      <c r="C165" s="16"/>
      <c r="D165" s="16"/>
      <c r="E165" s="16"/>
      <c r="F165" s="24"/>
      <c r="G165" s="24"/>
      <c r="H165" s="24"/>
      <c r="I165" s="24"/>
      <c r="J165" s="24"/>
      <c r="K165" s="16"/>
      <c r="L165" s="16"/>
      <c r="M165" s="16"/>
      <c r="N165" s="16"/>
      <c r="O165" s="16"/>
      <c r="P165" s="16"/>
      <c r="Q165" s="16"/>
      <c r="R165" s="16"/>
      <c r="S165" s="16"/>
      <c r="T165" s="16"/>
      <c r="U165" s="16"/>
      <c r="V165" s="16"/>
      <c r="W165" s="16"/>
      <c r="X165" s="16"/>
      <c r="Y165" s="16"/>
      <c r="Z165" s="16"/>
      <c r="AA165" s="16"/>
      <c r="AB165" s="16"/>
      <c r="AC165" s="16"/>
      <c r="AD165" s="16"/>
      <c r="AE165" s="16"/>
      <c r="AF165" s="16"/>
      <c r="AG165" s="16"/>
      <c r="AH165" s="16"/>
      <c r="AI165" s="16"/>
      <c r="AJ165" s="16"/>
      <c r="AK165" s="16"/>
      <c r="AL165" s="16"/>
      <c r="AM165" s="16"/>
      <c r="AN165" s="16"/>
      <c r="AO165" s="16"/>
      <c r="AP165" s="16"/>
      <c r="AQ165" s="16"/>
      <c r="AR165" s="16"/>
      <c r="AS165" s="16"/>
      <c r="AT165" s="16"/>
    </row>
    <row r="166" spans="2:46" x14ac:dyDescent="0.3">
      <c r="B166" s="16"/>
      <c r="C166" s="16"/>
      <c r="D166" s="16"/>
      <c r="E166" s="16"/>
      <c r="F166" s="24"/>
      <c r="G166" s="24"/>
      <c r="H166" s="24"/>
      <c r="I166" s="24"/>
      <c r="J166" s="24"/>
      <c r="K166" s="16"/>
      <c r="L166" s="16"/>
      <c r="M166" s="16"/>
      <c r="N166" s="16"/>
      <c r="O166" s="16"/>
      <c r="P166" s="16"/>
      <c r="Q166" s="16"/>
      <c r="R166" s="16"/>
      <c r="S166" s="16"/>
      <c r="T166" s="16"/>
      <c r="U166" s="16"/>
      <c r="V166" s="16"/>
      <c r="W166" s="16"/>
      <c r="X166" s="16"/>
      <c r="Y166" s="16"/>
      <c r="Z166" s="16"/>
      <c r="AA166" s="16"/>
      <c r="AB166" s="16"/>
      <c r="AC166" s="16"/>
      <c r="AD166" s="16"/>
      <c r="AE166" s="16"/>
      <c r="AF166" s="16"/>
      <c r="AG166" s="16"/>
      <c r="AH166" s="16"/>
      <c r="AI166" s="16"/>
      <c r="AJ166" s="16"/>
      <c r="AK166" s="16"/>
      <c r="AL166" s="16"/>
      <c r="AM166" s="16"/>
      <c r="AN166" s="16"/>
      <c r="AO166" s="16"/>
      <c r="AP166" s="16"/>
      <c r="AQ166" s="16"/>
      <c r="AR166" s="16"/>
      <c r="AS166" s="16"/>
      <c r="AT166" s="16"/>
    </row>
    <row r="167" spans="2:46" x14ac:dyDescent="0.3">
      <c r="B167" s="16"/>
      <c r="C167" s="16"/>
      <c r="D167" s="16"/>
      <c r="E167" s="16"/>
      <c r="F167" s="24"/>
      <c r="G167" s="24"/>
      <c r="H167" s="24"/>
      <c r="I167" s="24"/>
      <c r="J167" s="24"/>
      <c r="K167" s="16"/>
      <c r="L167" s="16"/>
      <c r="M167" s="16"/>
      <c r="N167" s="16"/>
      <c r="O167" s="16"/>
      <c r="P167" s="16"/>
      <c r="Q167" s="16"/>
      <c r="R167" s="16"/>
      <c r="S167" s="16"/>
      <c r="T167" s="16"/>
      <c r="U167" s="16"/>
      <c r="V167" s="16"/>
      <c r="W167" s="16"/>
      <c r="X167" s="16"/>
      <c r="Y167" s="16"/>
      <c r="Z167" s="16"/>
      <c r="AA167" s="16"/>
      <c r="AB167" s="16"/>
      <c r="AC167" s="16"/>
      <c r="AD167" s="16"/>
      <c r="AE167" s="16"/>
      <c r="AF167" s="16"/>
      <c r="AG167" s="16"/>
      <c r="AH167" s="16"/>
      <c r="AI167" s="16"/>
      <c r="AJ167" s="16"/>
      <c r="AK167" s="16"/>
      <c r="AL167" s="16"/>
      <c r="AM167" s="16"/>
      <c r="AN167" s="16"/>
      <c r="AO167" s="16"/>
      <c r="AP167" s="16"/>
      <c r="AQ167" s="16"/>
      <c r="AR167" s="16"/>
      <c r="AS167" s="16"/>
      <c r="AT167" s="16"/>
    </row>
    <row r="168" spans="2:46" x14ac:dyDescent="0.3">
      <c r="B168" s="16"/>
      <c r="C168" s="16"/>
      <c r="D168" s="16"/>
      <c r="E168" s="16"/>
      <c r="F168" s="24"/>
      <c r="G168" s="24"/>
      <c r="H168" s="24"/>
      <c r="I168" s="24"/>
      <c r="J168" s="24"/>
      <c r="K168" s="16"/>
      <c r="L168" s="16"/>
      <c r="M168" s="16"/>
      <c r="N168" s="16"/>
      <c r="O168" s="16"/>
      <c r="P168" s="16"/>
      <c r="Q168" s="16"/>
      <c r="R168" s="16"/>
      <c r="S168" s="16"/>
      <c r="T168" s="16"/>
      <c r="U168" s="16"/>
      <c r="V168" s="16"/>
      <c r="W168" s="16"/>
      <c r="X168" s="16"/>
      <c r="Y168" s="16"/>
      <c r="Z168" s="16"/>
      <c r="AA168" s="16"/>
      <c r="AB168" s="16"/>
      <c r="AC168" s="16"/>
      <c r="AD168" s="16"/>
      <c r="AE168" s="16"/>
      <c r="AF168" s="16"/>
      <c r="AG168" s="16"/>
      <c r="AH168" s="16"/>
      <c r="AI168" s="16"/>
      <c r="AJ168" s="16"/>
      <c r="AK168" s="16"/>
      <c r="AL168" s="16"/>
      <c r="AM168" s="16"/>
      <c r="AN168" s="16"/>
      <c r="AO168" s="16"/>
      <c r="AP168" s="16"/>
      <c r="AQ168" s="16"/>
      <c r="AR168" s="16"/>
      <c r="AS168" s="16"/>
      <c r="AT168" s="16"/>
    </row>
    <row r="169" spans="2:46" x14ac:dyDescent="0.3">
      <c r="B169" s="16"/>
      <c r="C169" s="16"/>
      <c r="D169" s="16"/>
      <c r="E169" s="16"/>
      <c r="F169" s="24"/>
      <c r="G169" s="24"/>
      <c r="H169" s="24"/>
      <c r="I169" s="24"/>
      <c r="J169" s="24"/>
      <c r="K169" s="16"/>
      <c r="L169" s="16"/>
      <c r="M169" s="16"/>
      <c r="N169" s="16"/>
      <c r="O169" s="16"/>
      <c r="P169" s="16"/>
      <c r="Q169" s="16"/>
      <c r="R169" s="16"/>
      <c r="S169" s="16"/>
      <c r="T169" s="16"/>
      <c r="U169" s="16"/>
      <c r="V169" s="16"/>
      <c r="W169" s="16"/>
      <c r="X169" s="16"/>
      <c r="Y169" s="16"/>
      <c r="Z169" s="16"/>
      <c r="AA169" s="16"/>
      <c r="AB169" s="16"/>
      <c r="AC169" s="16"/>
      <c r="AD169" s="16"/>
      <c r="AE169" s="16"/>
      <c r="AF169" s="16"/>
      <c r="AG169" s="16"/>
      <c r="AH169" s="16"/>
      <c r="AI169" s="16"/>
      <c r="AJ169" s="16"/>
      <c r="AK169" s="16"/>
      <c r="AL169" s="16"/>
      <c r="AM169" s="16"/>
      <c r="AN169" s="16"/>
      <c r="AO169" s="16"/>
      <c r="AP169" s="16"/>
      <c r="AQ169" s="16"/>
      <c r="AR169" s="16"/>
      <c r="AS169" s="16"/>
      <c r="AT169" s="16"/>
    </row>
    <row r="170" spans="2:46" x14ac:dyDescent="0.3">
      <c r="B170" s="16"/>
      <c r="C170" s="16"/>
      <c r="D170" s="16"/>
      <c r="E170" s="16"/>
      <c r="F170" s="24"/>
      <c r="G170" s="24"/>
      <c r="H170" s="24"/>
      <c r="I170" s="24"/>
      <c r="J170" s="24"/>
      <c r="K170" s="16"/>
      <c r="L170" s="16"/>
      <c r="M170" s="16"/>
      <c r="N170" s="16"/>
      <c r="O170" s="16"/>
      <c r="P170" s="16"/>
      <c r="Q170" s="16"/>
      <c r="R170" s="16"/>
      <c r="S170" s="16"/>
      <c r="T170" s="16"/>
      <c r="U170" s="16"/>
      <c r="V170" s="16"/>
      <c r="W170" s="16"/>
      <c r="X170" s="16"/>
      <c r="Y170" s="16"/>
      <c r="Z170" s="16"/>
      <c r="AA170" s="16"/>
      <c r="AB170" s="16"/>
      <c r="AC170" s="16"/>
      <c r="AD170" s="16"/>
      <c r="AE170" s="16"/>
      <c r="AF170" s="16"/>
      <c r="AG170" s="16"/>
      <c r="AH170" s="16"/>
      <c r="AI170" s="16"/>
      <c r="AJ170" s="16"/>
      <c r="AK170" s="16"/>
      <c r="AL170" s="16"/>
      <c r="AM170" s="16"/>
      <c r="AN170" s="16"/>
      <c r="AO170" s="16"/>
      <c r="AP170" s="16"/>
      <c r="AQ170" s="16"/>
      <c r="AR170" s="16"/>
      <c r="AS170" s="16"/>
      <c r="AT170" s="16"/>
    </row>
    <row r="171" spans="2:46" x14ac:dyDescent="0.3">
      <c r="B171" s="16"/>
      <c r="C171" s="16"/>
      <c r="D171" s="16"/>
      <c r="E171" s="16"/>
      <c r="F171" s="24"/>
      <c r="G171" s="24"/>
      <c r="H171" s="24"/>
      <c r="I171" s="24"/>
      <c r="J171" s="24"/>
      <c r="K171" s="16"/>
      <c r="L171" s="16"/>
      <c r="M171" s="16"/>
      <c r="N171" s="16"/>
      <c r="O171" s="16"/>
      <c r="P171" s="16"/>
      <c r="Q171" s="16"/>
      <c r="R171" s="16"/>
      <c r="S171" s="16"/>
      <c r="T171" s="16"/>
      <c r="U171" s="16"/>
      <c r="V171" s="16"/>
      <c r="W171" s="16"/>
      <c r="X171" s="16"/>
      <c r="Y171" s="16"/>
      <c r="Z171" s="16"/>
      <c r="AA171" s="16"/>
      <c r="AB171" s="16"/>
      <c r="AC171" s="16"/>
      <c r="AD171" s="16"/>
      <c r="AE171" s="16"/>
      <c r="AF171" s="16"/>
      <c r="AG171" s="16"/>
      <c r="AH171" s="16"/>
      <c r="AI171" s="16"/>
      <c r="AJ171" s="16"/>
      <c r="AK171" s="16"/>
      <c r="AL171" s="16"/>
      <c r="AM171" s="16"/>
      <c r="AN171" s="16"/>
      <c r="AO171" s="16"/>
      <c r="AP171" s="16"/>
      <c r="AQ171" s="16"/>
      <c r="AR171" s="16"/>
      <c r="AS171" s="16"/>
      <c r="AT171" s="16"/>
    </row>
    <row r="172" spans="2:46" x14ac:dyDescent="0.3">
      <c r="B172" s="16"/>
      <c r="C172" s="16"/>
      <c r="D172" s="16"/>
      <c r="E172" s="16"/>
      <c r="F172" s="24"/>
      <c r="G172" s="24"/>
      <c r="H172" s="24"/>
      <c r="I172" s="24"/>
      <c r="J172" s="24"/>
      <c r="K172" s="16"/>
      <c r="L172" s="16"/>
      <c r="M172" s="16"/>
      <c r="N172" s="16"/>
      <c r="O172" s="16"/>
      <c r="P172" s="16"/>
      <c r="Q172" s="16"/>
      <c r="R172" s="16"/>
      <c r="S172" s="16"/>
      <c r="T172" s="16"/>
      <c r="U172" s="16"/>
      <c r="V172" s="16"/>
      <c r="W172" s="16"/>
      <c r="X172" s="16"/>
      <c r="Y172" s="16"/>
      <c r="Z172" s="16"/>
      <c r="AA172" s="16"/>
      <c r="AB172" s="16"/>
      <c r="AC172" s="16"/>
      <c r="AD172" s="16"/>
      <c r="AE172" s="16"/>
      <c r="AF172" s="16"/>
      <c r="AG172" s="16"/>
      <c r="AH172" s="16"/>
      <c r="AI172" s="16"/>
      <c r="AJ172" s="16"/>
      <c r="AK172" s="16"/>
      <c r="AL172" s="16"/>
      <c r="AM172" s="16"/>
      <c r="AN172" s="16"/>
      <c r="AO172" s="16"/>
      <c r="AP172" s="16"/>
      <c r="AQ172" s="16"/>
      <c r="AR172" s="16"/>
      <c r="AS172" s="16"/>
      <c r="AT172" s="16"/>
    </row>
    <row r="173" spans="2:46" x14ac:dyDescent="0.3">
      <c r="B173" s="16"/>
      <c r="C173" s="16"/>
      <c r="D173" s="16"/>
      <c r="E173" s="16"/>
      <c r="F173" s="24"/>
      <c r="G173" s="24"/>
      <c r="H173" s="24"/>
      <c r="I173" s="24"/>
      <c r="J173" s="24"/>
      <c r="K173" s="16"/>
      <c r="L173" s="16"/>
      <c r="M173" s="16"/>
      <c r="N173" s="16"/>
      <c r="O173" s="16"/>
      <c r="P173" s="16"/>
      <c r="Q173" s="16"/>
      <c r="R173" s="16"/>
      <c r="S173" s="16"/>
      <c r="T173" s="16"/>
      <c r="U173" s="16"/>
      <c r="V173" s="16"/>
      <c r="W173" s="16"/>
      <c r="X173" s="16"/>
      <c r="Y173" s="16"/>
      <c r="Z173" s="16"/>
      <c r="AA173" s="16"/>
      <c r="AB173" s="16"/>
      <c r="AC173" s="16"/>
      <c r="AD173" s="16"/>
      <c r="AE173" s="16"/>
      <c r="AF173" s="16"/>
      <c r="AG173" s="16"/>
      <c r="AH173" s="16"/>
      <c r="AI173" s="16"/>
      <c r="AJ173" s="16"/>
      <c r="AK173" s="16"/>
      <c r="AL173" s="16"/>
      <c r="AM173" s="16"/>
      <c r="AN173" s="16"/>
      <c r="AO173" s="16"/>
      <c r="AP173" s="16"/>
      <c r="AQ173" s="16"/>
      <c r="AR173" s="16"/>
      <c r="AS173" s="16"/>
      <c r="AT173" s="16"/>
    </row>
    <row r="174" spans="2:46" x14ac:dyDescent="0.3">
      <c r="B174" s="16"/>
      <c r="C174" s="16"/>
      <c r="D174" s="16"/>
      <c r="E174" s="16"/>
      <c r="F174" s="24"/>
      <c r="G174" s="24"/>
      <c r="H174" s="24"/>
      <c r="I174" s="24"/>
      <c r="J174" s="24"/>
      <c r="K174" s="16"/>
      <c r="L174" s="16"/>
      <c r="M174" s="16"/>
      <c r="N174" s="16"/>
      <c r="O174" s="16"/>
      <c r="P174" s="16"/>
      <c r="Q174" s="16"/>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c r="AO174" s="16"/>
      <c r="AP174" s="16"/>
      <c r="AQ174" s="16"/>
      <c r="AR174" s="16"/>
      <c r="AS174" s="16"/>
      <c r="AT174" s="16"/>
    </row>
    <row r="175" spans="2:46" x14ac:dyDescent="0.3">
      <c r="B175" s="16"/>
      <c r="C175" s="16"/>
      <c r="D175" s="16"/>
      <c r="E175" s="16"/>
      <c r="F175" s="24"/>
      <c r="G175" s="24"/>
      <c r="H175" s="24"/>
      <c r="I175" s="24"/>
      <c r="J175" s="24"/>
      <c r="K175" s="16"/>
      <c r="L175" s="16"/>
      <c r="M175" s="16"/>
      <c r="N175" s="16"/>
      <c r="O175" s="16"/>
      <c r="P175" s="16"/>
      <c r="Q175" s="16"/>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c r="AO175" s="16"/>
      <c r="AP175" s="16"/>
      <c r="AQ175" s="16"/>
      <c r="AR175" s="16"/>
      <c r="AS175" s="16"/>
      <c r="AT175" s="16"/>
    </row>
    <row r="176" spans="2:46" x14ac:dyDescent="0.3">
      <c r="B176" s="16"/>
      <c r="C176" s="16"/>
      <c r="D176" s="16"/>
      <c r="E176" s="16"/>
      <c r="F176" s="24"/>
      <c r="G176" s="24"/>
      <c r="H176" s="24"/>
      <c r="I176" s="24"/>
      <c r="J176" s="24"/>
      <c r="K176" s="16"/>
      <c r="L176" s="16"/>
      <c r="M176" s="16"/>
      <c r="N176" s="16"/>
      <c r="O176" s="16"/>
      <c r="P176" s="16"/>
      <c r="Q176" s="16"/>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c r="AO176" s="16"/>
      <c r="AP176" s="16"/>
      <c r="AQ176" s="16"/>
      <c r="AR176" s="16"/>
      <c r="AS176" s="16"/>
      <c r="AT176" s="16"/>
    </row>
    <row r="177" spans="2:46" x14ac:dyDescent="0.3">
      <c r="B177" s="16"/>
      <c r="C177" s="16"/>
      <c r="D177" s="16"/>
      <c r="E177" s="16"/>
      <c r="F177" s="24"/>
      <c r="G177" s="24"/>
      <c r="H177" s="24"/>
      <c r="I177" s="24"/>
      <c r="J177" s="24"/>
      <c r="K177" s="16"/>
      <c r="L177" s="16"/>
      <c r="M177" s="16"/>
      <c r="N177" s="16"/>
      <c r="O177" s="16"/>
      <c r="P177" s="16"/>
      <c r="Q177" s="16"/>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c r="AO177" s="16"/>
      <c r="AP177" s="16"/>
      <c r="AQ177" s="16"/>
      <c r="AR177" s="16"/>
      <c r="AS177" s="16"/>
      <c r="AT177" s="16"/>
    </row>
    <row r="178" spans="2:46" x14ac:dyDescent="0.3">
      <c r="B178" s="16"/>
      <c r="C178" s="16"/>
      <c r="D178" s="16"/>
      <c r="E178" s="16"/>
      <c r="F178" s="24"/>
      <c r="G178" s="24"/>
      <c r="H178" s="24"/>
      <c r="I178" s="24"/>
      <c r="J178" s="24"/>
      <c r="K178" s="16"/>
      <c r="L178" s="16"/>
      <c r="M178" s="16"/>
      <c r="N178" s="16"/>
      <c r="O178" s="16"/>
      <c r="P178" s="16"/>
      <c r="Q178" s="16"/>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c r="AO178" s="16"/>
      <c r="AP178" s="16"/>
      <c r="AQ178" s="16"/>
      <c r="AR178" s="16"/>
      <c r="AS178" s="16"/>
      <c r="AT178" s="16"/>
    </row>
    <row r="179" spans="2:46" x14ac:dyDescent="0.3">
      <c r="B179" s="16"/>
      <c r="C179" s="16"/>
      <c r="D179" s="16"/>
      <c r="E179" s="16"/>
      <c r="F179" s="24"/>
      <c r="G179" s="24"/>
      <c r="H179" s="24"/>
      <c r="I179" s="24"/>
      <c r="J179" s="24"/>
      <c r="K179" s="16"/>
      <c r="L179" s="16"/>
      <c r="M179" s="16"/>
      <c r="N179" s="16"/>
      <c r="O179" s="16"/>
      <c r="P179" s="16"/>
      <c r="Q179" s="16"/>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c r="AO179" s="16"/>
      <c r="AP179" s="16"/>
      <c r="AQ179" s="16"/>
      <c r="AR179" s="16"/>
      <c r="AS179" s="16"/>
      <c r="AT179" s="16"/>
    </row>
    <row r="180" spans="2:46" x14ac:dyDescent="0.3">
      <c r="B180" s="16"/>
      <c r="C180" s="16"/>
      <c r="D180" s="16"/>
      <c r="E180" s="16"/>
      <c r="F180" s="24"/>
      <c r="G180" s="24"/>
      <c r="H180" s="24"/>
      <c r="I180" s="24"/>
      <c r="J180" s="24"/>
      <c r="K180" s="16"/>
      <c r="L180" s="16"/>
      <c r="M180" s="16"/>
      <c r="N180" s="16"/>
      <c r="O180" s="16"/>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c r="AO180" s="16"/>
      <c r="AP180" s="16"/>
      <c r="AQ180" s="16"/>
      <c r="AR180" s="16"/>
      <c r="AS180" s="16"/>
      <c r="AT180" s="16"/>
    </row>
    <row r="181" spans="2:46" x14ac:dyDescent="0.3">
      <c r="B181" s="16"/>
      <c r="C181" s="16"/>
      <c r="D181" s="16"/>
      <c r="E181" s="16"/>
      <c r="F181" s="24"/>
      <c r="G181" s="24"/>
      <c r="H181" s="24"/>
      <c r="I181" s="24"/>
      <c r="J181" s="24"/>
      <c r="K181" s="16"/>
      <c r="L181" s="16"/>
      <c r="M181" s="16"/>
      <c r="N181" s="16"/>
      <c r="O181" s="16"/>
      <c r="P181" s="16"/>
      <c r="Q181" s="16"/>
      <c r="R181" s="16"/>
      <c r="S181" s="16"/>
      <c r="T181" s="16"/>
      <c r="U181" s="16"/>
      <c r="V181" s="16"/>
      <c r="W181" s="16"/>
      <c r="X181" s="16"/>
      <c r="Y181" s="16"/>
      <c r="Z181" s="16"/>
      <c r="AA181" s="16"/>
      <c r="AB181" s="16"/>
      <c r="AC181" s="16"/>
      <c r="AD181" s="16"/>
      <c r="AE181" s="16"/>
      <c r="AF181" s="16"/>
      <c r="AG181" s="16"/>
      <c r="AH181" s="16"/>
      <c r="AI181" s="16"/>
      <c r="AJ181" s="16"/>
      <c r="AK181" s="16"/>
      <c r="AL181" s="16"/>
      <c r="AM181" s="16"/>
      <c r="AN181" s="16"/>
      <c r="AO181" s="16"/>
      <c r="AP181" s="16"/>
      <c r="AQ181" s="16"/>
      <c r="AR181" s="16"/>
      <c r="AS181" s="16"/>
      <c r="AT181" s="16"/>
    </row>
    <row r="182" spans="2:46" x14ac:dyDescent="0.3">
      <c r="B182" s="16"/>
      <c r="C182" s="16"/>
      <c r="D182" s="16"/>
      <c r="E182" s="16"/>
      <c r="F182" s="24"/>
      <c r="G182" s="24"/>
      <c r="H182" s="24"/>
      <c r="I182" s="24"/>
      <c r="J182" s="24" t="e">
        <f>#REF!-#REF!</f>
        <v>#REF!</v>
      </c>
      <c r="K182" s="16"/>
      <c r="L182" s="16"/>
      <c r="M182" s="16"/>
      <c r="N182" s="16"/>
      <c r="O182" s="16"/>
      <c r="P182" s="16"/>
      <c r="Q182" s="16"/>
      <c r="R182" s="16"/>
      <c r="S182" s="16"/>
      <c r="T182" s="16"/>
      <c r="U182" s="16"/>
      <c r="V182" s="16"/>
      <c r="W182" s="16"/>
      <c r="X182" s="16"/>
      <c r="Y182" s="16"/>
      <c r="Z182" s="16"/>
      <c r="AA182" s="16"/>
      <c r="AB182" s="16"/>
      <c r="AC182" s="16"/>
      <c r="AD182" s="16"/>
      <c r="AE182" s="16"/>
      <c r="AF182" s="16"/>
      <c r="AG182" s="16"/>
      <c r="AH182" s="16"/>
      <c r="AI182" s="16"/>
      <c r="AJ182" s="16"/>
      <c r="AK182" s="16"/>
      <c r="AL182" s="16"/>
      <c r="AM182" s="16"/>
      <c r="AN182" s="16"/>
      <c r="AO182" s="16"/>
      <c r="AP182" s="16"/>
      <c r="AQ182" s="16"/>
      <c r="AR182" s="16"/>
      <c r="AS182" s="16"/>
      <c r="AT182" s="16"/>
    </row>
    <row r="183" spans="2:46" x14ac:dyDescent="0.3">
      <c r="B183" s="16"/>
      <c r="C183" s="16"/>
      <c r="D183" s="16"/>
      <c r="E183" s="16"/>
      <c r="F183" s="24"/>
      <c r="G183" s="24"/>
      <c r="H183" s="24"/>
      <c r="I183" s="24"/>
      <c r="J183" s="24"/>
      <c r="K183" s="16"/>
      <c r="L183" s="16"/>
      <c r="M183" s="16"/>
      <c r="N183" s="16"/>
      <c r="O183" s="16"/>
      <c r="P183" s="16"/>
      <c r="Q183" s="16"/>
      <c r="R183" s="16"/>
      <c r="S183" s="16"/>
      <c r="T183" s="16"/>
      <c r="U183" s="16"/>
      <c r="V183" s="16"/>
      <c r="W183" s="16"/>
      <c r="X183" s="16"/>
      <c r="Y183" s="16"/>
      <c r="Z183" s="16"/>
      <c r="AA183" s="16"/>
      <c r="AB183" s="16"/>
      <c r="AC183" s="16"/>
      <c r="AD183" s="16"/>
      <c r="AE183" s="16"/>
      <c r="AF183" s="16"/>
      <c r="AG183" s="16"/>
      <c r="AH183" s="16"/>
      <c r="AI183" s="16"/>
      <c r="AJ183" s="16"/>
      <c r="AK183" s="16"/>
      <c r="AL183" s="16"/>
      <c r="AM183" s="16"/>
      <c r="AN183" s="16"/>
      <c r="AO183" s="16"/>
      <c r="AP183" s="16"/>
      <c r="AQ183" s="16"/>
      <c r="AR183" s="16"/>
      <c r="AS183" s="16"/>
      <c r="AT183" s="16"/>
    </row>
    <row r="184" spans="2:46" x14ac:dyDescent="0.3">
      <c r="B184" s="16"/>
      <c r="C184" s="16"/>
      <c r="D184" s="16"/>
      <c r="E184" s="16"/>
      <c r="F184" s="24"/>
      <c r="G184" s="24"/>
      <c r="H184" s="24"/>
      <c r="I184" s="24"/>
      <c r="J184" s="24"/>
      <c r="K184" s="16"/>
      <c r="L184" s="16"/>
      <c r="M184" s="16"/>
      <c r="N184" s="16"/>
      <c r="O184" s="16"/>
      <c r="P184" s="16"/>
      <c r="Q184" s="16"/>
      <c r="R184" s="16"/>
      <c r="S184" s="16"/>
      <c r="T184" s="16"/>
      <c r="U184" s="16"/>
      <c r="V184" s="16"/>
      <c r="W184" s="16"/>
      <c r="X184" s="16"/>
      <c r="Y184" s="16"/>
      <c r="Z184" s="16"/>
      <c r="AA184" s="16"/>
      <c r="AB184" s="16"/>
      <c r="AC184" s="16"/>
      <c r="AD184" s="16"/>
      <c r="AE184" s="16"/>
      <c r="AF184" s="16"/>
      <c r="AG184" s="16"/>
      <c r="AH184" s="16"/>
      <c r="AI184" s="16"/>
      <c r="AJ184" s="16"/>
      <c r="AK184" s="16"/>
      <c r="AL184" s="16"/>
      <c r="AM184" s="16"/>
      <c r="AN184" s="16"/>
      <c r="AO184" s="16"/>
      <c r="AP184" s="16"/>
      <c r="AQ184" s="16"/>
      <c r="AR184" s="16"/>
      <c r="AS184" s="16"/>
      <c r="AT184" s="16"/>
    </row>
    <row r="185" spans="2:46" x14ac:dyDescent="0.3">
      <c r="B185" s="16"/>
      <c r="C185" s="16"/>
      <c r="D185" s="16"/>
      <c r="E185" s="16"/>
      <c r="F185" s="24"/>
      <c r="G185" s="24"/>
      <c r="H185" s="24"/>
      <c r="I185" s="24"/>
      <c r="J185" s="24"/>
      <c r="K185" s="16"/>
      <c r="L185" s="16"/>
      <c r="M185" s="16"/>
      <c r="N185" s="16"/>
      <c r="O185" s="16"/>
      <c r="P185" s="16"/>
      <c r="Q185" s="16"/>
      <c r="R185" s="16"/>
      <c r="S185" s="16"/>
      <c r="T185" s="16"/>
      <c r="U185" s="16"/>
      <c r="V185" s="16"/>
      <c r="W185" s="16"/>
      <c r="X185" s="16"/>
      <c r="Y185" s="16"/>
      <c r="Z185" s="16"/>
      <c r="AA185" s="16"/>
      <c r="AB185" s="16"/>
      <c r="AC185" s="16"/>
      <c r="AD185" s="16"/>
      <c r="AE185" s="16"/>
      <c r="AF185" s="16"/>
      <c r="AG185" s="16"/>
      <c r="AH185" s="16"/>
      <c r="AI185" s="16"/>
      <c r="AJ185" s="16"/>
      <c r="AK185" s="16"/>
      <c r="AL185" s="16"/>
      <c r="AM185" s="16"/>
      <c r="AN185" s="16"/>
      <c r="AO185" s="16"/>
      <c r="AP185" s="16"/>
      <c r="AQ185" s="16"/>
      <c r="AR185" s="16"/>
      <c r="AS185" s="16"/>
      <c r="AT185" s="16"/>
    </row>
    <row r="186" spans="2:46" x14ac:dyDescent="0.3">
      <c r="B186" s="16"/>
      <c r="C186" s="16"/>
      <c r="D186" s="16"/>
      <c r="E186" s="16"/>
      <c r="F186" s="24"/>
      <c r="G186" s="24"/>
      <c r="H186" s="24"/>
      <c r="I186" s="24"/>
      <c r="J186" s="24"/>
      <c r="K186" s="16"/>
      <c r="L186" s="16"/>
      <c r="M186" s="16"/>
      <c r="N186" s="16"/>
      <c r="O186" s="16"/>
      <c r="P186" s="16"/>
      <c r="Q186" s="16"/>
      <c r="R186" s="16"/>
      <c r="S186" s="16"/>
      <c r="T186" s="16"/>
      <c r="U186" s="16"/>
      <c r="V186" s="16"/>
      <c r="W186" s="16"/>
      <c r="X186" s="16"/>
      <c r="Y186" s="16"/>
      <c r="Z186" s="16"/>
      <c r="AA186" s="16"/>
      <c r="AB186" s="16"/>
      <c r="AC186" s="16"/>
      <c r="AD186" s="16"/>
      <c r="AE186" s="16"/>
      <c r="AF186" s="16"/>
      <c r="AG186" s="16"/>
      <c r="AH186" s="16"/>
      <c r="AI186" s="16"/>
      <c r="AJ186" s="16"/>
      <c r="AK186" s="16"/>
      <c r="AL186" s="16"/>
      <c r="AM186" s="16"/>
      <c r="AN186" s="16"/>
      <c r="AO186" s="16"/>
      <c r="AP186" s="16"/>
      <c r="AQ186" s="16"/>
      <c r="AR186" s="16"/>
      <c r="AS186" s="16"/>
      <c r="AT186" s="16"/>
    </row>
    <row r="187" spans="2:46" x14ac:dyDescent="0.3">
      <c r="B187" s="16"/>
      <c r="C187" s="16"/>
      <c r="D187" s="16"/>
      <c r="E187" s="16"/>
      <c r="F187" s="24"/>
      <c r="G187" s="24"/>
      <c r="H187" s="24"/>
      <c r="I187" s="24"/>
      <c r="J187" s="24"/>
      <c r="K187" s="16"/>
      <c r="L187" s="16"/>
      <c r="M187" s="16"/>
      <c r="N187" s="16"/>
      <c r="O187" s="16"/>
      <c r="P187" s="16"/>
      <c r="Q187" s="16"/>
      <c r="R187" s="16"/>
      <c r="S187" s="16"/>
      <c r="T187" s="16"/>
      <c r="U187" s="16"/>
      <c r="V187" s="16"/>
      <c r="W187" s="16"/>
      <c r="X187" s="16"/>
      <c r="Y187" s="16"/>
      <c r="Z187" s="16"/>
      <c r="AA187" s="16"/>
      <c r="AB187" s="16"/>
      <c r="AC187" s="16"/>
      <c r="AD187" s="16"/>
      <c r="AE187" s="16"/>
      <c r="AF187" s="16"/>
      <c r="AG187" s="16"/>
      <c r="AH187" s="16"/>
      <c r="AI187" s="16"/>
      <c r="AJ187" s="16"/>
      <c r="AK187" s="16"/>
      <c r="AL187" s="16"/>
      <c r="AM187" s="16"/>
      <c r="AN187" s="16"/>
      <c r="AO187" s="16"/>
      <c r="AP187" s="16"/>
      <c r="AQ187" s="16"/>
      <c r="AR187" s="16"/>
      <c r="AS187" s="16"/>
      <c r="AT187" s="16"/>
    </row>
    <row r="188" spans="2:46" x14ac:dyDescent="0.3">
      <c r="B188" s="16"/>
      <c r="C188" s="16"/>
      <c r="D188" s="16"/>
      <c r="E188" s="16"/>
      <c r="F188" s="24"/>
      <c r="G188" s="24"/>
      <c r="H188" s="24"/>
      <c r="I188" s="24"/>
      <c r="J188" s="24"/>
      <c r="K188" s="16"/>
      <c r="L188" s="16"/>
      <c r="M188" s="16"/>
      <c r="N188" s="16"/>
      <c r="O188" s="16"/>
      <c r="P188" s="16"/>
      <c r="Q188" s="16"/>
      <c r="R188" s="16"/>
      <c r="S188" s="16"/>
      <c r="T188" s="16"/>
      <c r="U188" s="16"/>
      <c r="V188" s="16"/>
      <c r="W188" s="16"/>
      <c r="X188" s="16"/>
      <c r="Y188" s="16"/>
      <c r="Z188" s="16"/>
      <c r="AA188" s="16"/>
      <c r="AB188" s="16"/>
      <c r="AC188" s="16"/>
      <c r="AD188" s="16"/>
      <c r="AE188" s="16"/>
      <c r="AF188" s="16"/>
      <c r="AG188" s="16"/>
      <c r="AH188" s="16"/>
      <c r="AI188" s="16"/>
      <c r="AJ188" s="16"/>
      <c r="AK188" s="16"/>
      <c r="AL188" s="16"/>
      <c r="AM188" s="16"/>
      <c r="AN188" s="16"/>
      <c r="AO188" s="16"/>
      <c r="AP188" s="16"/>
      <c r="AQ188" s="16"/>
      <c r="AR188" s="16"/>
      <c r="AS188" s="16"/>
      <c r="AT188" s="16"/>
    </row>
    <row r="189" spans="2:46" x14ac:dyDescent="0.3">
      <c r="B189" s="16"/>
      <c r="C189" s="16"/>
      <c r="D189" s="16"/>
      <c r="E189" s="16"/>
      <c r="F189" s="24"/>
      <c r="G189" s="24"/>
      <c r="H189" s="24"/>
      <c r="I189" s="24"/>
      <c r="J189" s="24"/>
      <c r="K189" s="16"/>
      <c r="L189" s="16"/>
      <c r="M189" s="16"/>
      <c r="N189" s="16"/>
      <c r="O189" s="16"/>
      <c r="P189" s="16"/>
      <c r="Q189" s="16"/>
      <c r="R189" s="16"/>
      <c r="S189" s="16"/>
      <c r="T189" s="16"/>
      <c r="U189" s="16"/>
      <c r="V189" s="16"/>
      <c r="W189" s="16"/>
      <c r="X189" s="16"/>
      <c r="Y189" s="16"/>
      <c r="Z189" s="16"/>
      <c r="AA189" s="16"/>
      <c r="AB189" s="16"/>
      <c r="AC189" s="16"/>
      <c r="AD189" s="16"/>
      <c r="AE189" s="16"/>
      <c r="AF189" s="16"/>
      <c r="AG189" s="16"/>
      <c r="AH189" s="16"/>
      <c r="AI189" s="16"/>
      <c r="AJ189" s="16"/>
      <c r="AK189" s="16"/>
      <c r="AL189" s="16"/>
      <c r="AM189" s="16"/>
      <c r="AN189" s="16"/>
      <c r="AO189" s="16"/>
      <c r="AP189" s="16"/>
      <c r="AQ189" s="16"/>
      <c r="AR189" s="16"/>
      <c r="AS189" s="16"/>
      <c r="AT189" s="16"/>
    </row>
    <row r="190" spans="2:46" x14ac:dyDescent="0.3">
      <c r="B190" s="16"/>
      <c r="C190" s="16"/>
      <c r="D190" s="16"/>
      <c r="E190" s="16"/>
      <c r="F190" s="24"/>
      <c r="G190" s="24"/>
      <c r="H190" s="24"/>
      <c r="I190" s="24"/>
      <c r="J190" s="24"/>
      <c r="K190" s="16"/>
      <c r="L190" s="16"/>
      <c r="M190" s="16"/>
      <c r="N190" s="16"/>
      <c r="O190" s="16"/>
      <c r="P190" s="16"/>
      <c r="Q190" s="16"/>
      <c r="R190" s="16"/>
      <c r="S190" s="16"/>
      <c r="T190" s="16"/>
      <c r="U190" s="16"/>
      <c r="V190" s="16"/>
      <c r="W190" s="16"/>
      <c r="X190" s="16"/>
      <c r="Y190" s="16"/>
      <c r="Z190" s="16"/>
      <c r="AA190" s="16"/>
      <c r="AB190" s="16"/>
      <c r="AC190" s="16"/>
      <c r="AD190" s="16"/>
      <c r="AE190" s="16"/>
      <c r="AF190" s="16"/>
      <c r="AG190" s="16"/>
      <c r="AH190" s="16"/>
      <c r="AI190" s="16"/>
      <c r="AJ190" s="16"/>
      <c r="AK190" s="16"/>
      <c r="AL190" s="16"/>
      <c r="AM190" s="16"/>
      <c r="AN190" s="16"/>
      <c r="AO190" s="16"/>
      <c r="AP190" s="16"/>
      <c r="AQ190" s="16"/>
      <c r="AR190" s="16"/>
      <c r="AS190" s="16"/>
      <c r="AT190" s="16"/>
    </row>
    <row r="191" spans="2:46" x14ac:dyDescent="0.3">
      <c r="B191" s="16"/>
      <c r="C191" s="16"/>
      <c r="D191" s="16"/>
      <c r="E191" s="16"/>
      <c r="F191" s="24"/>
      <c r="G191" s="24"/>
      <c r="H191" s="24"/>
      <c r="I191" s="24"/>
      <c r="J191" s="24"/>
      <c r="K191" s="16"/>
      <c r="L191" s="16"/>
      <c r="M191" s="16"/>
      <c r="N191" s="16"/>
      <c r="O191" s="16"/>
      <c r="P191" s="16"/>
      <c r="Q191" s="16"/>
      <c r="R191" s="16"/>
      <c r="S191" s="16"/>
      <c r="T191" s="16"/>
      <c r="U191" s="16"/>
      <c r="V191" s="16"/>
      <c r="W191" s="16"/>
      <c r="X191" s="16"/>
      <c r="Y191" s="16"/>
      <c r="Z191" s="16"/>
      <c r="AA191" s="16"/>
      <c r="AB191" s="16"/>
      <c r="AC191" s="16"/>
      <c r="AD191" s="16"/>
      <c r="AE191" s="16"/>
      <c r="AF191" s="16"/>
      <c r="AG191" s="16"/>
      <c r="AH191" s="16"/>
      <c r="AI191" s="16"/>
      <c r="AJ191" s="16"/>
      <c r="AK191" s="16"/>
      <c r="AL191" s="16"/>
      <c r="AM191" s="16"/>
      <c r="AN191" s="16"/>
      <c r="AO191" s="16"/>
      <c r="AP191" s="16"/>
      <c r="AQ191" s="16"/>
      <c r="AR191" s="16"/>
      <c r="AS191" s="16"/>
      <c r="AT191" s="16"/>
    </row>
    <row r="192" spans="2:46" x14ac:dyDescent="0.3">
      <c r="B192" s="16"/>
      <c r="C192" s="16"/>
      <c r="D192" s="16"/>
      <c r="E192" s="16"/>
      <c r="F192" s="24"/>
      <c r="G192" s="24"/>
      <c r="H192" s="24"/>
      <c r="I192" s="24"/>
      <c r="J192" s="24"/>
      <c r="K192" s="16"/>
      <c r="L192" s="16"/>
      <c r="M192" s="16"/>
      <c r="N192" s="16"/>
      <c r="O192" s="16"/>
      <c r="P192" s="16"/>
      <c r="Q192" s="16"/>
      <c r="R192" s="16"/>
      <c r="S192" s="16"/>
      <c r="T192" s="16"/>
      <c r="U192" s="16"/>
      <c r="V192" s="16"/>
      <c r="W192" s="16"/>
      <c r="X192" s="16"/>
      <c r="Y192" s="16"/>
      <c r="Z192" s="16"/>
      <c r="AA192" s="16"/>
      <c r="AB192" s="16"/>
      <c r="AC192" s="16"/>
      <c r="AD192" s="16"/>
      <c r="AE192" s="16"/>
      <c r="AF192" s="16"/>
      <c r="AG192" s="16"/>
      <c r="AH192" s="16"/>
      <c r="AI192" s="16"/>
      <c r="AJ192" s="16"/>
      <c r="AK192" s="16"/>
      <c r="AL192" s="16"/>
      <c r="AM192" s="16"/>
      <c r="AN192" s="16"/>
      <c r="AO192" s="16"/>
      <c r="AP192" s="16"/>
      <c r="AQ192" s="16"/>
      <c r="AR192" s="16"/>
      <c r="AS192" s="16"/>
      <c r="AT192" s="16"/>
    </row>
    <row r="193" spans="2:46" x14ac:dyDescent="0.3">
      <c r="B193" s="16"/>
      <c r="C193" s="16"/>
      <c r="D193" s="16"/>
      <c r="E193" s="16"/>
      <c r="F193" s="24"/>
      <c r="G193" s="24"/>
      <c r="H193" s="24"/>
      <c r="I193" s="24"/>
      <c r="J193" s="24"/>
      <c r="K193" s="16"/>
      <c r="L193" s="16"/>
      <c r="M193" s="16"/>
      <c r="N193" s="16"/>
      <c r="O193" s="16"/>
      <c r="P193" s="16"/>
      <c r="Q193" s="16"/>
      <c r="R193" s="16"/>
      <c r="S193" s="16"/>
      <c r="T193" s="16"/>
      <c r="U193" s="16"/>
      <c r="V193" s="16"/>
      <c r="W193" s="16"/>
      <c r="X193" s="16"/>
      <c r="Y193" s="16"/>
      <c r="Z193" s="16"/>
      <c r="AA193" s="16"/>
      <c r="AB193" s="16"/>
      <c r="AC193" s="16"/>
      <c r="AD193" s="16"/>
      <c r="AE193" s="16"/>
      <c r="AF193" s="16"/>
      <c r="AG193" s="16"/>
      <c r="AH193" s="16"/>
      <c r="AI193" s="16"/>
      <c r="AJ193" s="16"/>
      <c r="AK193" s="16"/>
      <c r="AL193" s="16"/>
      <c r="AM193" s="16"/>
      <c r="AN193" s="16"/>
      <c r="AO193" s="16"/>
      <c r="AP193" s="16"/>
      <c r="AQ193" s="16"/>
      <c r="AR193" s="16"/>
      <c r="AS193" s="16"/>
      <c r="AT193" s="16"/>
    </row>
    <row r="194" spans="2:46" x14ac:dyDescent="0.3">
      <c r="B194" s="16"/>
      <c r="C194" s="16"/>
      <c r="D194" s="16"/>
      <c r="E194" s="16"/>
      <c r="F194" s="24"/>
      <c r="G194" s="24"/>
      <c r="H194" s="24"/>
      <c r="I194" s="24"/>
      <c r="J194" s="24"/>
      <c r="K194" s="16"/>
      <c r="L194" s="16"/>
      <c r="M194" s="16"/>
      <c r="N194" s="16"/>
      <c r="O194" s="16"/>
      <c r="P194" s="16"/>
      <c r="Q194" s="16"/>
      <c r="R194" s="16"/>
      <c r="S194" s="16"/>
      <c r="T194" s="16"/>
      <c r="U194" s="16"/>
      <c r="V194" s="16"/>
      <c r="W194" s="16"/>
      <c r="X194" s="16"/>
      <c r="Y194" s="16"/>
      <c r="Z194" s="16"/>
      <c r="AA194" s="16"/>
      <c r="AB194" s="16"/>
      <c r="AC194" s="16"/>
      <c r="AD194" s="16"/>
      <c r="AE194" s="16"/>
      <c r="AF194" s="16"/>
      <c r="AG194" s="16"/>
      <c r="AH194" s="16"/>
      <c r="AI194" s="16"/>
      <c r="AJ194" s="16"/>
      <c r="AK194" s="16"/>
      <c r="AL194" s="16"/>
      <c r="AM194" s="16"/>
      <c r="AN194" s="16"/>
      <c r="AO194" s="16"/>
      <c r="AP194" s="16"/>
      <c r="AQ194" s="16"/>
      <c r="AR194" s="16"/>
      <c r="AS194" s="16"/>
      <c r="AT194" s="16"/>
    </row>
    <row r="195" spans="2:46" x14ac:dyDescent="0.3">
      <c r="B195" s="16"/>
      <c r="C195" s="16"/>
      <c r="D195" s="16"/>
      <c r="E195" s="16"/>
      <c r="F195" s="24"/>
      <c r="G195" s="24"/>
      <c r="H195" s="24"/>
      <c r="I195" s="24"/>
      <c r="J195" s="24"/>
      <c r="K195" s="16"/>
      <c r="L195" s="16"/>
      <c r="M195" s="16"/>
      <c r="N195" s="16"/>
      <c r="O195" s="16"/>
      <c r="P195" s="16"/>
      <c r="Q195" s="16"/>
      <c r="R195" s="16"/>
      <c r="S195" s="16"/>
      <c r="T195" s="16"/>
      <c r="U195" s="16"/>
      <c r="V195" s="16"/>
      <c r="W195" s="16"/>
      <c r="X195" s="16"/>
      <c r="Y195" s="16"/>
      <c r="Z195" s="16"/>
      <c r="AA195" s="16"/>
      <c r="AB195" s="16"/>
      <c r="AC195" s="16"/>
      <c r="AD195" s="16"/>
      <c r="AE195" s="16"/>
      <c r="AF195" s="16"/>
      <c r="AG195" s="16"/>
      <c r="AH195" s="16"/>
      <c r="AI195" s="16"/>
      <c r="AJ195" s="16"/>
      <c r="AK195" s="16"/>
      <c r="AL195" s="16"/>
      <c r="AM195" s="16"/>
      <c r="AN195" s="16"/>
      <c r="AO195" s="16"/>
      <c r="AP195" s="16"/>
      <c r="AQ195" s="16"/>
      <c r="AR195" s="16"/>
      <c r="AS195" s="16"/>
      <c r="AT195" s="16"/>
    </row>
    <row r="196" spans="2:46" x14ac:dyDescent="0.3">
      <c r="B196" s="16"/>
      <c r="C196" s="16"/>
      <c r="D196" s="16"/>
      <c r="E196" s="16"/>
      <c r="F196" s="24"/>
      <c r="G196" s="24"/>
      <c r="H196" s="24"/>
      <c r="I196" s="24"/>
      <c r="J196" s="24"/>
      <c r="K196" s="16"/>
      <c r="L196" s="16"/>
      <c r="M196" s="16"/>
      <c r="N196" s="16"/>
      <c r="O196" s="16"/>
      <c r="P196" s="16"/>
      <c r="Q196" s="16"/>
      <c r="R196" s="16"/>
      <c r="S196" s="16"/>
      <c r="T196" s="16"/>
      <c r="U196" s="16"/>
      <c r="V196" s="16"/>
      <c r="W196" s="16"/>
      <c r="X196" s="16"/>
      <c r="Y196" s="16"/>
      <c r="Z196" s="16"/>
      <c r="AA196" s="16"/>
      <c r="AB196" s="16"/>
      <c r="AC196" s="16"/>
      <c r="AD196" s="16"/>
      <c r="AE196" s="16"/>
      <c r="AF196" s="16"/>
      <c r="AG196" s="16"/>
      <c r="AH196" s="16"/>
      <c r="AI196" s="16"/>
      <c r="AJ196" s="16"/>
      <c r="AK196" s="16"/>
      <c r="AL196" s="16"/>
      <c r="AM196" s="16"/>
      <c r="AN196" s="16"/>
      <c r="AO196" s="16"/>
      <c r="AP196" s="16"/>
      <c r="AQ196" s="16"/>
      <c r="AR196" s="16"/>
      <c r="AS196" s="16"/>
      <c r="AT196" s="16"/>
    </row>
    <row r="197" spans="2:46" x14ac:dyDescent="0.3">
      <c r="B197" s="16"/>
      <c r="C197" s="16"/>
      <c r="D197" s="16"/>
      <c r="E197" s="16"/>
      <c r="F197" s="24"/>
      <c r="G197" s="24"/>
      <c r="H197" s="24"/>
      <c r="I197" s="24"/>
      <c r="J197" s="24"/>
      <c r="K197" s="16"/>
      <c r="L197" s="16"/>
      <c r="M197" s="16"/>
      <c r="N197" s="16"/>
      <c r="O197" s="16"/>
      <c r="P197" s="16"/>
      <c r="Q197" s="16"/>
      <c r="R197" s="16"/>
      <c r="S197" s="16"/>
      <c r="T197" s="16"/>
      <c r="U197" s="16"/>
      <c r="V197" s="16"/>
      <c r="W197" s="16"/>
      <c r="X197" s="16"/>
      <c r="Y197" s="16"/>
      <c r="Z197" s="16"/>
      <c r="AA197" s="16"/>
      <c r="AB197" s="16"/>
      <c r="AC197" s="16"/>
      <c r="AD197" s="16"/>
      <c r="AE197" s="16"/>
      <c r="AF197" s="16"/>
      <c r="AG197" s="16"/>
      <c r="AH197" s="16"/>
      <c r="AI197" s="16"/>
      <c r="AJ197" s="16"/>
      <c r="AK197" s="16"/>
      <c r="AL197" s="16"/>
      <c r="AM197" s="16"/>
      <c r="AN197" s="16"/>
      <c r="AO197" s="16"/>
      <c r="AP197" s="16"/>
      <c r="AQ197" s="16"/>
      <c r="AR197" s="16"/>
      <c r="AS197" s="16"/>
      <c r="AT197" s="16"/>
    </row>
    <row r="198" spans="2:46" x14ac:dyDescent="0.3">
      <c r="B198" s="16"/>
      <c r="C198" s="16"/>
      <c r="D198" s="16"/>
      <c r="E198" s="16"/>
      <c r="F198" s="24"/>
      <c r="G198" s="24"/>
      <c r="H198" s="24"/>
      <c r="I198" s="24"/>
      <c r="J198" s="24"/>
      <c r="K198" s="16"/>
      <c r="L198" s="16"/>
      <c r="M198" s="16"/>
      <c r="N198" s="16"/>
      <c r="O198" s="16"/>
      <c r="P198" s="16"/>
      <c r="Q198" s="16"/>
      <c r="R198" s="16"/>
      <c r="S198" s="16"/>
      <c r="T198" s="16"/>
      <c r="U198" s="16"/>
      <c r="V198" s="16"/>
      <c r="W198" s="16"/>
      <c r="X198" s="16"/>
      <c r="Y198" s="16"/>
      <c r="Z198" s="16"/>
      <c r="AA198" s="16"/>
      <c r="AB198" s="16"/>
      <c r="AC198" s="16"/>
      <c r="AD198" s="16"/>
      <c r="AE198" s="16"/>
      <c r="AF198" s="16"/>
      <c r="AG198" s="16"/>
      <c r="AH198" s="16"/>
      <c r="AI198" s="16"/>
      <c r="AJ198" s="16"/>
      <c r="AK198" s="16"/>
      <c r="AL198" s="16"/>
      <c r="AM198" s="16"/>
      <c r="AN198" s="16"/>
      <c r="AO198" s="16"/>
      <c r="AP198" s="16"/>
      <c r="AQ198" s="16"/>
      <c r="AR198" s="16"/>
      <c r="AS198" s="16"/>
      <c r="AT198" s="16"/>
    </row>
    <row r="199" spans="2:46" x14ac:dyDescent="0.3">
      <c r="B199" s="16"/>
      <c r="C199" s="16"/>
      <c r="D199" s="16"/>
      <c r="E199" s="16"/>
      <c r="F199" s="24"/>
      <c r="G199" s="24"/>
      <c r="H199" s="24"/>
      <c r="I199" s="24"/>
      <c r="J199" s="24"/>
      <c r="K199" s="16"/>
      <c r="L199" s="16"/>
      <c r="M199" s="16"/>
      <c r="N199" s="16"/>
      <c r="O199" s="16"/>
      <c r="P199" s="16"/>
      <c r="Q199" s="16"/>
      <c r="R199" s="16"/>
      <c r="S199" s="16"/>
      <c r="T199" s="16"/>
      <c r="U199" s="16"/>
      <c r="V199" s="16"/>
      <c r="W199" s="16"/>
      <c r="X199" s="16"/>
      <c r="Y199" s="16"/>
      <c r="Z199" s="16"/>
      <c r="AA199" s="16"/>
      <c r="AB199" s="16"/>
      <c r="AC199" s="16"/>
      <c r="AD199" s="16"/>
      <c r="AE199" s="16"/>
      <c r="AF199" s="16"/>
      <c r="AG199" s="16"/>
      <c r="AH199" s="16"/>
      <c r="AI199" s="16"/>
      <c r="AJ199" s="16"/>
      <c r="AK199" s="16"/>
      <c r="AL199" s="16"/>
      <c r="AM199" s="16"/>
      <c r="AN199" s="16"/>
      <c r="AO199" s="16"/>
      <c r="AP199" s="16"/>
      <c r="AQ199" s="16"/>
      <c r="AR199" s="16"/>
      <c r="AS199" s="16"/>
      <c r="AT199" s="16"/>
    </row>
    <row r="200" spans="2:46" x14ac:dyDescent="0.3">
      <c r="B200" s="16"/>
      <c r="C200" s="16"/>
      <c r="D200" s="16"/>
      <c r="E200" s="16"/>
      <c r="F200" s="24"/>
      <c r="G200" s="24"/>
      <c r="H200" s="24"/>
      <c r="I200" s="24"/>
      <c r="J200" s="24"/>
      <c r="K200" s="16"/>
      <c r="L200" s="16"/>
      <c r="M200" s="16"/>
      <c r="N200" s="16"/>
      <c r="O200" s="16"/>
      <c r="P200" s="16"/>
      <c r="Q200" s="16"/>
      <c r="R200" s="16"/>
      <c r="S200" s="16"/>
      <c r="T200" s="16"/>
      <c r="U200" s="16"/>
      <c r="V200" s="16"/>
      <c r="W200" s="16"/>
      <c r="X200" s="16"/>
      <c r="Y200" s="16"/>
      <c r="Z200" s="16"/>
      <c r="AA200" s="16"/>
      <c r="AB200" s="16"/>
      <c r="AC200" s="16"/>
      <c r="AD200" s="16"/>
      <c r="AE200" s="16"/>
      <c r="AF200" s="16"/>
      <c r="AG200" s="16"/>
      <c r="AH200" s="16"/>
      <c r="AI200" s="16"/>
      <c r="AJ200" s="16"/>
      <c r="AK200" s="16"/>
      <c r="AL200" s="16"/>
      <c r="AM200" s="16"/>
      <c r="AN200" s="16"/>
      <c r="AO200" s="16"/>
      <c r="AP200" s="16"/>
      <c r="AQ200" s="16"/>
      <c r="AR200" s="16"/>
      <c r="AS200" s="16"/>
      <c r="AT200" s="16"/>
    </row>
    <row r="201" spans="2:46" x14ac:dyDescent="0.3">
      <c r="B201" s="16"/>
      <c r="C201" s="16"/>
      <c r="D201" s="16"/>
      <c r="E201" s="16"/>
      <c r="F201" s="24"/>
      <c r="G201" s="24"/>
      <c r="H201" s="24"/>
      <c r="I201" s="24"/>
      <c r="J201" s="24"/>
      <c r="K201" s="16"/>
      <c r="L201" s="16"/>
      <c r="M201" s="16"/>
      <c r="N201" s="16"/>
      <c r="O201" s="16"/>
      <c r="P201" s="16"/>
      <c r="Q201" s="16"/>
      <c r="R201" s="16"/>
      <c r="S201" s="16"/>
      <c r="T201" s="16"/>
      <c r="U201" s="16"/>
      <c r="V201" s="16"/>
      <c r="W201" s="16"/>
      <c r="X201" s="16"/>
      <c r="Y201" s="16"/>
      <c r="Z201" s="16"/>
      <c r="AA201" s="16"/>
      <c r="AB201" s="16"/>
      <c r="AC201" s="16"/>
      <c r="AD201" s="16"/>
      <c r="AE201" s="16"/>
      <c r="AF201" s="16"/>
      <c r="AG201" s="16"/>
      <c r="AH201" s="16"/>
      <c r="AI201" s="16"/>
      <c r="AJ201" s="16"/>
      <c r="AK201" s="16"/>
      <c r="AL201" s="16"/>
      <c r="AM201" s="16"/>
      <c r="AN201" s="16"/>
      <c r="AO201" s="16"/>
      <c r="AP201" s="16"/>
      <c r="AQ201" s="16"/>
      <c r="AR201" s="16"/>
      <c r="AS201" s="16"/>
      <c r="AT201" s="16"/>
    </row>
    <row r="202" spans="2:46" x14ac:dyDescent="0.3">
      <c r="B202" s="16"/>
      <c r="C202" s="16"/>
      <c r="D202" s="16"/>
      <c r="E202" s="16"/>
      <c r="F202" s="24"/>
      <c r="G202" s="24"/>
      <c r="H202" s="24"/>
      <c r="I202" s="24"/>
      <c r="J202" s="24"/>
      <c r="K202" s="16"/>
      <c r="L202" s="16"/>
      <c r="M202" s="16"/>
      <c r="N202" s="16"/>
      <c r="O202" s="16"/>
      <c r="P202" s="16"/>
      <c r="Q202" s="16"/>
      <c r="R202" s="16"/>
      <c r="S202" s="16"/>
      <c r="T202" s="16"/>
      <c r="U202" s="16"/>
      <c r="V202" s="16"/>
      <c r="W202" s="16"/>
      <c r="X202" s="16"/>
      <c r="Y202" s="16"/>
      <c r="Z202" s="16"/>
      <c r="AA202" s="16"/>
      <c r="AB202" s="16"/>
      <c r="AC202" s="16"/>
      <c r="AD202" s="16"/>
      <c r="AE202" s="16"/>
      <c r="AF202" s="16"/>
      <c r="AG202" s="16"/>
      <c r="AH202" s="16"/>
      <c r="AI202" s="16"/>
      <c r="AJ202" s="16"/>
      <c r="AK202" s="16"/>
      <c r="AL202" s="16"/>
      <c r="AM202" s="16"/>
      <c r="AN202" s="16"/>
      <c r="AO202" s="16"/>
      <c r="AP202" s="16"/>
      <c r="AQ202" s="16"/>
      <c r="AR202" s="16"/>
      <c r="AS202" s="16"/>
      <c r="AT202" s="16"/>
    </row>
    <row r="203" spans="2:46" x14ac:dyDescent="0.3">
      <c r="B203" s="16"/>
      <c r="C203" s="16"/>
      <c r="D203" s="16"/>
      <c r="E203" s="16"/>
      <c r="F203" s="24"/>
      <c r="G203" s="24"/>
      <c r="H203" s="24"/>
      <c r="I203" s="24"/>
      <c r="J203" s="24"/>
      <c r="K203" s="16"/>
      <c r="L203" s="16"/>
      <c r="M203" s="16"/>
      <c r="N203" s="16"/>
      <c r="O203" s="16"/>
      <c r="P203" s="16"/>
      <c r="Q203" s="16"/>
      <c r="R203" s="16"/>
      <c r="S203" s="16"/>
      <c r="T203" s="16"/>
      <c r="U203" s="16"/>
      <c r="V203" s="16"/>
      <c r="W203" s="16"/>
      <c r="X203" s="16"/>
      <c r="Y203" s="16"/>
      <c r="Z203" s="16"/>
      <c r="AA203" s="16"/>
      <c r="AB203" s="16"/>
      <c r="AC203" s="16"/>
      <c r="AD203" s="16"/>
      <c r="AE203" s="16"/>
      <c r="AF203" s="16"/>
      <c r="AG203" s="16"/>
      <c r="AH203" s="16"/>
      <c r="AI203" s="16"/>
      <c r="AJ203" s="16"/>
      <c r="AK203" s="16"/>
      <c r="AL203" s="16"/>
      <c r="AM203" s="16"/>
      <c r="AN203" s="16"/>
      <c r="AO203" s="16"/>
      <c r="AP203" s="16"/>
      <c r="AQ203" s="16"/>
      <c r="AR203" s="16"/>
      <c r="AS203" s="16"/>
      <c r="AT203" s="16"/>
    </row>
    <row r="204" spans="2:46" x14ac:dyDescent="0.3">
      <c r="B204" s="16"/>
      <c r="C204" s="16"/>
      <c r="D204" s="16"/>
      <c r="E204" s="16"/>
      <c r="F204" s="24"/>
      <c r="G204" s="24"/>
      <c r="H204" s="24"/>
      <c r="I204" s="24"/>
      <c r="J204" s="24"/>
      <c r="K204" s="16"/>
      <c r="L204" s="16"/>
      <c r="M204" s="16"/>
      <c r="N204" s="16"/>
      <c r="O204" s="16"/>
      <c r="P204" s="16"/>
      <c r="Q204" s="16"/>
      <c r="R204" s="16"/>
      <c r="S204" s="16"/>
      <c r="T204" s="16"/>
      <c r="U204" s="16"/>
      <c r="V204" s="16"/>
      <c r="W204" s="16"/>
      <c r="X204" s="16"/>
      <c r="Y204" s="16"/>
      <c r="Z204" s="16"/>
      <c r="AA204" s="16"/>
      <c r="AB204" s="16"/>
      <c r="AC204" s="16"/>
      <c r="AD204" s="16"/>
      <c r="AE204" s="16"/>
      <c r="AF204" s="16"/>
      <c r="AG204" s="16"/>
      <c r="AH204" s="16"/>
      <c r="AI204" s="16"/>
      <c r="AJ204" s="16"/>
      <c r="AK204" s="16"/>
      <c r="AL204" s="16"/>
      <c r="AM204" s="16"/>
      <c r="AN204" s="16"/>
      <c r="AO204" s="16"/>
      <c r="AP204" s="16"/>
      <c r="AQ204" s="16"/>
      <c r="AR204" s="16"/>
      <c r="AS204" s="16"/>
      <c r="AT204" s="16"/>
    </row>
    <row r="205" spans="2:46" x14ac:dyDescent="0.3">
      <c r="B205" s="16"/>
      <c r="C205" s="16"/>
      <c r="D205" s="16"/>
      <c r="E205" s="16"/>
      <c r="F205" s="24"/>
      <c r="G205" s="24"/>
      <c r="H205" s="24"/>
      <c r="I205" s="24"/>
      <c r="J205" s="24"/>
      <c r="K205" s="16"/>
      <c r="L205" s="16"/>
      <c r="M205" s="16"/>
      <c r="N205" s="16"/>
      <c r="O205" s="16"/>
      <c r="P205" s="16"/>
      <c r="Q205" s="16"/>
      <c r="R205" s="16"/>
      <c r="S205" s="16"/>
      <c r="T205" s="16"/>
      <c r="U205" s="16"/>
      <c r="V205" s="16"/>
      <c r="W205" s="16"/>
      <c r="X205" s="16"/>
      <c r="Y205" s="16"/>
      <c r="Z205" s="16"/>
      <c r="AA205" s="16"/>
      <c r="AB205" s="16"/>
      <c r="AC205" s="16"/>
      <c r="AD205" s="16"/>
      <c r="AE205" s="16"/>
      <c r="AF205" s="16"/>
      <c r="AG205" s="16"/>
      <c r="AH205" s="16"/>
      <c r="AI205" s="16"/>
      <c r="AJ205" s="16"/>
      <c r="AK205" s="16"/>
      <c r="AL205" s="16"/>
      <c r="AM205" s="16"/>
      <c r="AN205" s="16"/>
      <c r="AO205" s="16"/>
      <c r="AP205" s="16"/>
      <c r="AQ205" s="16"/>
      <c r="AR205" s="16"/>
      <c r="AS205" s="16"/>
      <c r="AT205" s="16"/>
    </row>
    <row r="206" spans="2:46" x14ac:dyDescent="0.3">
      <c r="B206" s="16"/>
      <c r="C206" s="16"/>
      <c r="D206" s="16"/>
      <c r="E206" s="16"/>
      <c r="F206" s="24"/>
      <c r="G206" s="24"/>
      <c r="H206" s="24"/>
      <c r="I206" s="24"/>
      <c r="J206" s="24"/>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c r="AO206" s="16"/>
      <c r="AP206" s="16"/>
      <c r="AQ206" s="16"/>
      <c r="AR206" s="16"/>
      <c r="AS206" s="16"/>
      <c r="AT206" s="16"/>
    </row>
    <row r="207" spans="2:46" x14ac:dyDescent="0.3">
      <c r="B207" s="16"/>
      <c r="C207" s="16"/>
      <c r="D207" s="16"/>
      <c r="E207" s="16"/>
      <c r="F207" s="24"/>
      <c r="G207" s="24"/>
      <c r="H207" s="24"/>
      <c r="I207" s="24"/>
      <c r="J207" s="24"/>
      <c r="K207" s="16"/>
      <c r="L207" s="16"/>
      <c r="M207" s="16"/>
      <c r="N207" s="16"/>
      <c r="O207" s="16"/>
      <c r="P207" s="16"/>
      <c r="Q207" s="16"/>
      <c r="R207" s="16"/>
      <c r="S207" s="16"/>
      <c r="T207" s="16"/>
      <c r="U207" s="16"/>
      <c r="V207" s="16"/>
      <c r="W207" s="16"/>
      <c r="X207" s="16"/>
      <c r="Y207" s="16"/>
      <c r="Z207" s="16"/>
      <c r="AA207" s="16"/>
      <c r="AB207" s="16"/>
      <c r="AC207" s="16"/>
      <c r="AD207" s="16"/>
      <c r="AE207" s="16"/>
      <c r="AF207" s="16"/>
      <c r="AG207" s="16"/>
      <c r="AH207" s="16"/>
      <c r="AI207" s="16"/>
      <c r="AJ207" s="16"/>
      <c r="AK207" s="16"/>
      <c r="AL207" s="16"/>
      <c r="AM207" s="16"/>
      <c r="AN207" s="16"/>
      <c r="AO207" s="16"/>
      <c r="AP207" s="16"/>
      <c r="AQ207" s="16"/>
      <c r="AR207" s="16"/>
      <c r="AS207" s="16"/>
      <c r="AT207" s="16"/>
    </row>
    <row r="208" spans="2:46" x14ac:dyDescent="0.3">
      <c r="B208" s="16"/>
      <c r="C208" s="16"/>
      <c r="D208" s="16"/>
      <c r="E208" s="16"/>
      <c r="F208" s="24"/>
      <c r="G208" s="24"/>
      <c r="H208" s="24"/>
      <c r="I208" s="24"/>
      <c r="J208" s="24"/>
      <c r="K208" s="16"/>
      <c r="L208" s="16"/>
      <c r="M208" s="16"/>
      <c r="N208" s="16"/>
      <c r="O208" s="16"/>
      <c r="P208" s="16"/>
      <c r="Q208" s="16"/>
      <c r="R208" s="16"/>
      <c r="S208" s="16"/>
      <c r="T208" s="16"/>
      <c r="U208" s="16"/>
      <c r="V208" s="16"/>
      <c r="W208" s="16"/>
      <c r="X208" s="16"/>
      <c r="Y208" s="16"/>
      <c r="Z208" s="16"/>
      <c r="AA208" s="16"/>
      <c r="AB208" s="16"/>
      <c r="AC208" s="16"/>
      <c r="AD208" s="16"/>
      <c r="AE208" s="16"/>
      <c r="AF208" s="16"/>
      <c r="AG208" s="16"/>
      <c r="AH208" s="16"/>
      <c r="AI208" s="16"/>
      <c r="AJ208" s="16"/>
      <c r="AK208" s="16"/>
      <c r="AL208" s="16"/>
      <c r="AM208" s="16"/>
      <c r="AN208" s="16"/>
      <c r="AO208" s="16"/>
      <c r="AP208" s="16"/>
      <c r="AQ208" s="16"/>
      <c r="AR208" s="16"/>
      <c r="AS208" s="16"/>
      <c r="AT208" s="16"/>
    </row>
    <row r="209" spans="2:46" x14ac:dyDescent="0.3">
      <c r="B209" s="16"/>
      <c r="C209" s="16"/>
      <c r="D209" s="16"/>
      <c r="E209" s="16"/>
      <c r="F209" s="24"/>
      <c r="G209" s="24"/>
      <c r="H209" s="24"/>
      <c r="I209" s="24"/>
      <c r="J209" s="24"/>
      <c r="K209" s="16"/>
      <c r="L209" s="16"/>
      <c r="M209" s="16"/>
      <c r="N209" s="16"/>
      <c r="O209" s="16"/>
      <c r="P209" s="16"/>
      <c r="Q209" s="16"/>
      <c r="R209" s="16"/>
      <c r="S209" s="16"/>
      <c r="T209" s="16"/>
      <c r="U209" s="16"/>
      <c r="V209" s="16"/>
      <c r="W209" s="16"/>
      <c r="X209" s="16"/>
      <c r="Y209" s="16"/>
      <c r="Z209" s="16"/>
      <c r="AA209" s="16"/>
      <c r="AB209" s="16"/>
      <c r="AC209" s="16"/>
      <c r="AD209" s="16"/>
      <c r="AE209" s="16"/>
      <c r="AF209" s="16"/>
      <c r="AG209" s="16"/>
      <c r="AH209" s="16"/>
      <c r="AI209" s="16"/>
      <c r="AJ209" s="16"/>
      <c r="AK209" s="16"/>
      <c r="AL209" s="16"/>
      <c r="AM209" s="16"/>
      <c r="AN209" s="16"/>
      <c r="AO209" s="16"/>
      <c r="AP209" s="16"/>
      <c r="AQ209" s="16"/>
      <c r="AR209" s="16"/>
      <c r="AS209" s="16"/>
      <c r="AT209" s="16"/>
    </row>
    <row r="210" spans="2:46" x14ac:dyDescent="0.3">
      <c r="B210" s="16"/>
      <c r="C210" s="16"/>
      <c r="D210" s="16"/>
      <c r="E210" s="16"/>
      <c r="F210" s="24"/>
      <c r="G210" s="24"/>
      <c r="H210" s="24"/>
      <c r="I210" s="24"/>
      <c r="J210" s="24"/>
      <c r="K210" s="16"/>
      <c r="L210" s="16"/>
      <c r="M210" s="16"/>
      <c r="N210" s="16"/>
      <c r="O210" s="16"/>
      <c r="P210" s="16"/>
      <c r="Q210" s="16"/>
      <c r="R210" s="16"/>
      <c r="S210" s="16"/>
      <c r="T210" s="16"/>
      <c r="U210" s="16"/>
      <c r="V210" s="16"/>
      <c r="W210" s="16"/>
      <c r="X210" s="16"/>
      <c r="Y210" s="16"/>
      <c r="Z210" s="16"/>
      <c r="AA210" s="16"/>
      <c r="AB210" s="16"/>
      <c r="AC210" s="16"/>
      <c r="AD210" s="16"/>
      <c r="AE210" s="16"/>
      <c r="AF210" s="16"/>
      <c r="AG210" s="16"/>
      <c r="AH210" s="16"/>
      <c r="AI210" s="16"/>
      <c r="AJ210" s="16"/>
      <c r="AK210" s="16"/>
      <c r="AL210" s="16"/>
      <c r="AM210" s="16"/>
      <c r="AN210" s="16"/>
      <c r="AO210" s="16"/>
      <c r="AP210" s="16"/>
      <c r="AQ210" s="16"/>
      <c r="AR210" s="16"/>
      <c r="AS210" s="16"/>
      <c r="AT210" s="16"/>
    </row>
    <row r="211" spans="2:46" x14ac:dyDescent="0.3">
      <c r="B211" s="16"/>
      <c r="C211" s="16"/>
      <c r="D211" s="16"/>
      <c r="E211" s="16"/>
      <c r="F211" s="24"/>
      <c r="G211" s="24"/>
      <c r="H211" s="24"/>
      <c r="I211" s="24"/>
      <c r="J211" s="24"/>
      <c r="K211" s="16"/>
      <c r="L211" s="16"/>
      <c r="M211" s="16"/>
      <c r="N211" s="16"/>
      <c r="O211" s="16"/>
      <c r="P211" s="16"/>
      <c r="Q211" s="16"/>
      <c r="R211" s="16"/>
      <c r="S211" s="16"/>
      <c r="T211" s="16"/>
      <c r="U211" s="16"/>
      <c r="V211" s="16"/>
      <c r="W211" s="16"/>
      <c r="X211" s="16"/>
      <c r="Y211" s="16"/>
      <c r="Z211" s="16"/>
      <c r="AA211" s="16"/>
      <c r="AB211" s="16"/>
      <c r="AC211" s="16"/>
      <c r="AD211" s="16"/>
      <c r="AE211" s="16"/>
      <c r="AF211" s="16"/>
      <c r="AG211" s="16"/>
      <c r="AH211" s="16"/>
      <c r="AI211" s="16"/>
      <c r="AJ211" s="16"/>
      <c r="AK211" s="16"/>
      <c r="AL211" s="16"/>
      <c r="AM211" s="16"/>
      <c r="AN211" s="16"/>
      <c r="AO211" s="16"/>
      <c r="AP211" s="16"/>
      <c r="AQ211" s="16"/>
      <c r="AR211" s="16"/>
      <c r="AS211" s="16"/>
      <c r="AT211" s="16"/>
    </row>
    <row r="212" spans="2:46" x14ac:dyDescent="0.3">
      <c r="B212" s="16"/>
      <c r="C212" s="16"/>
      <c r="D212" s="16"/>
      <c r="E212" s="16"/>
      <c r="F212" s="24"/>
      <c r="G212" s="24"/>
      <c r="H212" s="24"/>
      <c r="I212" s="24"/>
      <c r="J212" s="24"/>
      <c r="K212" s="16"/>
      <c r="L212" s="16"/>
      <c r="M212" s="16"/>
      <c r="N212" s="16"/>
      <c r="O212" s="16"/>
      <c r="P212" s="16"/>
      <c r="Q212" s="16"/>
      <c r="R212" s="16"/>
      <c r="S212" s="16"/>
      <c r="T212" s="16"/>
      <c r="U212" s="16"/>
      <c r="V212" s="16"/>
      <c r="W212" s="16"/>
      <c r="X212" s="16"/>
      <c r="Y212" s="16"/>
      <c r="Z212" s="16"/>
      <c r="AA212" s="16"/>
      <c r="AB212" s="16"/>
      <c r="AC212" s="16"/>
      <c r="AD212" s="16"/>
      <c r="AE212" s="16"/>
      <c r="AF212" s="16"/>
      <c r="AG212" s="16"/>
      <c r="AH212" s="16"/>
      <c r="AI212" s="16"/>
      <c r="AJ212" s="16"/>
      <c r="AK212" s="16"/>
      <c r="AL212" s="16"/>
      <c r="AM212" s="16"/>
      <c r="AN212" s="16"/>
      <c r="AO212" s="16"/>
      <c r="AP212" s="16"/>
      <c r="AQ212" s="16"/>
      <c r="AR212" s="16"/>
      <c r="AS212" s="16"/>
      <c r="AT212" s="16"/>
    </row>
    <row r="213" spans="2:46" x14ac:dyDescent="0.3">
      <c r="B213" s="16"/>
      <c r="C213" s="16"/>
      <c r="D213" s="16"/>
      <c r="E213" s="16"/>
      <c r="F213" s="24"/>
      <c r="G213" s="24"/>
      <c r="H213" s="24"/>
      <c r="I213" s="24"/>
      <c r="J213" s="24"/>
      <c r="K213" s="16"/>
      <c r="L213" s="16"/>
      <c r="M213" s="16"/>
      <c r="N213" s="16"/>
      <c r="O213" s="16"/>
      <c r="P213" s="16"/>
      <c r="Q213" s="16"/>
      <c r="R213" s="16"/>
      <c r="S213" s="16"/>
      <c r="T213" s="16"/>
      <c r="U213" s="16"/>
      <c r="V213" s="16"/>
      <c r="W213" s="16"/>
      <c r="X213" s="16"/>
      <c r="Y213" s="16"/>
      <c r="Z213" s="16"/>
      <c r="AA213" s="16"/>
      <c r="AB213" s="16"/>
      <c r="AC213" s="16"/>
      <c r="AD213" s="16"/>
      <c r="AE213" s="16"/>
      <c r="AF213" s="16"/>
      <c r="AG213" s="16"/>
      <c r="AH213" s="16"/>
      <c r="AI213" s="16"/>
      <c r="AJ213" s="16"/>
      <c r="AK213" s="16"/>
      <c r="AL213" s="16"/>
      <c r="AM213" s="16"/>
      <c r="AN213" s="16"/>
      <c r="AO213" s="16"/>
      <c r="AP213" s="16"/>
      <c r="AQ213" s="16"/>
      <c r="AR213" s="16"/>
      <c r="AS213" s="16"/>
      <c r="AT213" s="16"/>
    </row>
    <row r="214" spans="2:46" x14ac:dyDescent="0.3">
      <c r="B214" s="16"/>
      <c r="C214" s="16"/>
      <c r="D214" s="16"/>
      <c r="E214" s="16"/>
      <c r="F214" s="24"/>
      <c r="G214" s="24"/>
      <c r="H214" s="24"/>
      <c r="I214" s="24"/>
      <c r="J214" s="24"/>
      <c r="K214" s="16"/>
      <c r="L214" s="16"/>
      <c r="M214" s="16"/>
      <c r="N214" s="16"/>
      <c r="O214" s="16"/>
      <c r="P214" s="16"/>
      <c r="Q214" s="16"/>
      <c r="R214" s="16"/>
      <c r="S214" s="16"/>
      <c r="T214" s="16"/>
      <c r="U214" s="16"/>
      <c r="V214" s="16"/>
      <c r="W214" s="16"/>
      <c r="X214" s="16"/>
      <c r="Y214" s="16"/>
      <c r="Z214" s="16"/>
      <c r="AA214" s="16"/>
      <c r="AB214" s="16"/>
      <c r="AC214" s="16"/>
      <c r="AD214" s="16"/>
      <c r="AE214" s="16"/>
      <c r="AF214" s="16"/>
      <c r="AG214" s="16"/>
      <c r="AH214" s="16"/>
      <c r="AI214" s="16"/>
      <c r="AJ214" s="16"/>
      <c r="AK214" s="16"/>
      <c r="AL214" s="16"/>
      <c r="AM214" s="16"/>
      <c r="AN214" s="16"/>
      <c r="AO214" s="16"/>
      <c r="AP214" s="16"/>
      <c r="AQ214" s="16"/>
      <c r="AR214" s="16"/>
      <c r="AS214" s="16"/>
      <c r="AT214" s="16"/>
    </row>
    <row r="215" spans="2:46" x14ac:dyDescent="0.3">
      <c r="B215" s="16"/>
      <c r="C215" s="16"/>
      <c r="D215" s="16"/>
      <c r="E215" s="16"/>
      <c r="F215" s="24"/>
      <c r="G215" s="24"/>
      <c r="H215" s="24"/>
      <c r="I215" s="24"/>
      <c r="J215" s="24"/>
      <c r="K215" s="16"/>
      <c r="L215" s="16"/>
      <c r="M215" s="16"/>
      <c r="N215" s="16"/>
      <c r="O215" s="16"/>
      <c r="P215" s="16"/>
      <c r="Q215" s="16"/>
      <c r="R215" s="16"/>
      <c r="S215" s="16"/>
      <c r="T215" s="16"/>
      <c r="U215" s="16"/>
      <c r="V215" s="16"/>
      <c r="W215" s="16"/>
      <c r="X215" s="16"/>
      <c r="Y215" s="16"/>
      <c r="Z215" s="16"/>
      <c r="AA215" s="16"/>
      <c r="AB215" s="16"/>
      <c r="AC215" s="16"/>
      <c r="AD215" s="16"/>
      <c r="AE215" s="16"/>
      <c r="AF215" s="16"/>
      <c r="AG215" s="16"/>
      <c r="AH215" s="16"/>
      <c r="AI215" s="16"/>
      <c r="AJ215" s="16"/>
      <c r="AK215" s="16"/>
      <c r="AL215" s="16"/>
      <c r="AM215" s="16"/>
      <c r="AN215" s="16"/>
      <c r="AO215" s="16"/>
      <c r="AP215" s="16"/>
      <c r="AQ215" s="16"/>
      <c r="AR215" s="16"/>
      <c r="AS215" s="16"/>
      <c r="AT215" s="16"/>
    </row>
    <row r="216" spans="2:46" x14ac:dyDescent="0.3">
      <c r="B216" s="16"/>
      <c r="C216" s="16"/>
      <c r="D216" s="16"/>
      <c r="E216" s="16"/>
      <c r="F216" s="24"/>
      <c r="G216" s="24"/>
      <c r="H216" s="24"/>
      <c r="I216" s="24"/>
      <c r="J216" s="24"/>
      <c r="K216" s="16"/>
      <c r="L216" s="16"/>
      <c r="M216" s="16"/>
      <c r="N216" s="16"/>
      <c r="O216" s="16"/>
      <c r="P216" s="16"/>
      <c r="Q216" s="16"/>
      <c r="R216" s="16"/>
      <c r="S216" s="16"/>
      <c r="T216" s="16"/>
      <c r="U216" s="16"/>
      <c r="V216" s="16"/>
      <c r="W216" s="16"/>
      <c r="X216" s="16"/>
      <c r="Y216" s="16"/>
      <c r="Z216" s="16"/>
      <c r="AA216" s="16"/>
      <c r="AB216" s="16"/>
      <c r="AC216" s="16"/>
      <c r="AD216" s="16"/>
      <c r="AE216" s="16"/>
      <c r="AF216" s="16"/>
      <c r="AG216" s="16"/>
      <c r="AH216" s="16"/>
      <c r="AI216" s="16"/>
      <c r="AJ216" s="16"/>
      <c r="AK216" s="16"/>
      <c r="AL216" s="16"/>
      <c r="AM216" s="16"/>
      <c r="AN216" s="16"/>
      <c r="AO216" s="16"/>
      <c r="AP216" s="16"/>
      <c r="AQ216" s="16"/>
      <c r="AR216" s="16"/>
      <c r="AS216" s="16"/>
      <c r="AT216" s="16"/>
    </row>
    <row r="217" spans="2:46" x14ac:dyDescent="0.3">
      <c r="B217" s="16"/>
      <c r="C217" s="16"/>
      <c r="D217" s="16"/>
      <c r="E217" s="16"/>
      <c r="F217" s="24"/>
      <c r="G217" s="24"/>
      <c r="H217" s="24"/>
      <c r="I217" s="24"/>
      <c r="J217" s="24"/>
      <c r="K217" s="16"/>
      <c r="L217" s="16"/>
      <c r="M217" s="16"/>
      <c r="N217" s="16"/>
      <c r="O217" s="16"/>
      <c r="P217" s="16"/>
      <c r="Q217" s="16"/>
      <c r="R217" s="16"/>
      <c r="S217" s="16"/>
      <c r="T217" s="16"/>
      <c r="U217" s="16"/>
      <c r="V217" s="16"/>
      <c r="W217" s="16"/>
      <c r="X217" s="16"/>
      <c r="Y217" s="16"/>
      <c r="Z217" s="16"/>
      <c r="AA217" s="16"/>
      <c r="AB217" s="16"/>
      <c r="AC217" s="16"/>
      <c r="AD217" s="16"/>
      <c r="AE217" s="16"/>
      <c r="AF217" s="16"/>
      <c r="AG217" s="16"/>
      <c r="AH217" s="16"/>
      <c r="AI217" s="16"/>
      <c r="AJ217" s="16"/>
      <c r="AK217" s="16"/>
      <c r="AL217" s="16"/>
      <c r="AM217" s="16"/>
      <c r="AN217" s="16"/>
      <c r="AO217" s="16"/>
      <c r="AP217" s="16"/>
      <c r="AQ217" s="16"/>
      <c r="AR217" s="16"/>
      <c r="AS217" s="16"/>
      <c r="AT217" s="16"/>
    </row>
    <row r="218" spans="2:46" x14ac:dyDescent="0.3">
      <c r="B218" s="16"/>
      <c r="C218" s="16"/>
      <c r="D218" s="16"/>
      <c r="E218" s="16"/>
      <c r="F218" s="24"/>
      <c r="G218" s="24"/>
      <c r="H218" s="24"/>
      <c r="I218" s="24"/>
      <c r="J218" s="24"/>
      <c r="K218" s="16"/>
      <c r="L218" s="16"/>
      <c r="M218" s="16"/>
      <c r="N218" s="16"/>
      <c r="O218" s="16"/>
      <c r="P218" s="16"/>
      <c r="Q218" s="16"/>
      <c r="R218" s="16"/>
      <c r="S218" s="16"/>
      <c r="T218" s="16"/>
      <c r="U218" s="16"/>
      <c r="V218" s="16"/>
      <c r="W218" s="16"/>
      <c r="X218" s="16"/>
      <c r="Y218" s="16"/>
      <c r="Z218" s="16"/>
      <c r="AA218" s="16"/>
      <c r="AB218" s="16"/>
      <c r="AC218" s="16"/>
      <c r="AD218" s="16"/>
      <c r="AE218" s="16"/>
      <c r="AF218" s="16"/>
      <c r="AG218" s="16"/>
      <c r="AH218" s="16"/>
      <c r="AI218" s="16"/>
      <c r="AJ218" s="16"/>
      <c r="AK218" s="16"/>
      <c r="AL218" s="16"/>
      <c r="AM218" s="16"/>
      <c r="AN218" s="16"/>
      <c r="AO218" s="16"/>
      <c r="AP218" s="16"/>
      <c r="AQ218" s="16"/>
      <c r="AR218" s="16"/>
      <c r="AS218" s="16"/>
      <c r="AT218" s="16"/>
    </row>
    <row r="219" spans="2:46" x14ac:dyDescent="0.3">
      <c r="B219" s="16"/>
      <c r="C219" s="16"/>
      <c r="D219" s="16"/>
      <c r="E219" s="16"/>
      <c r="F219" s="24"/>
      <c r="G219" s="24"/>
      <c r="H219" s="24"/>
      <c r="I219" s="24"/>
      <c r="J219" s="24"/>
      <c r="K219" s="16"/>
      <c r="L219" s="16"/>
      <c r="M219" s="16"/>
      <c r="N219" s="16"/>
      <c r="O219" s="16"/>
      <c r="P219" s="16"/>
      <c r="Q219" s="16"/>
      <c r="R219" s="16"/>
      <c r="S219" s="16"/>
      <c r="T219" s="16"/>
      <c r="U219" s="16"/>
      <c r="V219" s="16"/>
      <c r="W219" s="16"/>
      <c r="X219" s="16"/>
      <c r="Y219" s="16"/>
      <c r="Z219" s="16"/>
      <c r="AA219" s="16"/>
      <c r="AB219" s="16"/>
      <c r="AC219" s="16"/>
      <c r="AD219" s="16"/>
      <c r="AE219" s="16"/>
      <c r="AF219" s="16"/>
      <c r="AG219" s="16"/>
      <c r="AH219" s="16"/>
      <c r="AI219" s="16"/>
      <c r="AJ219" s="16"/>
      <c r="AK219" s="16"/>
      <c r="AL219" s="16"/>
      <c r="AM219" s="16"/>
      <c r="AN219" s="16"/>
      <c r="AO219" s="16"/>
      <c r="AP219" s="16"/>
      <c r="AQ219" s="16"/>
      <c r="AR219" s="16"/>
      <c r="AS219" s="16"/>
      <c r="AT219" s="16"/>
    </row>
    <row r="220" spans="2:46" x14ac:dyDescent="0.3">
      <c r="B220" s="16"/>
      <c r="C220" s="16"/>
      <c r="D220" s="16"/>
      <c r="E220" s="16"/>
      <c r="F220" s="24"/>
      <c r="G220" s="24"/>
      <c r="H220" s="24"/>
      <c r="I220" s="24"/>
      <c r="J220" s="24"/>
      <c r="K220" s="16"/>
      <c r="L220" s="16"/>
      <c r="M220" s="16"/>
      <c r="N220" s="16"/>
      <c r="O220" s="16"/>
      <c r="P220" s="16"/>
      <c r="Q220" s="16"/>
      <c r="R220" s="16"/>
      <c r="S220" s="16"/>
      <c r="T220" s="16"/>
      <c r="U220" s="16"/>
      <c r="V220" s="16"/>
      <c r="W220" s="16"/>
      <c r="X220" s="16"/>
      <c r="Y220" s="16"/>
      <c r="Z220" s="16"/>
      <c r="AA220" s="16"/>
      <c r="AB220" s="16"/>
      <c r="AC220" s="16"/>
      <c r="AD220" s="16"/>
      <c r="AE220" s="16"/>
      <c r="AF220" s="16"/>
      <c r="AG220" s="16"/>
      <c r="AH220" s="16"/>
      <c r="AI220" s="16"/>
      <c r="AJ220" s="16"/>
      <c r="AK220" s="16"/>
      <c r="AL220" s="16"/>
      <c r="AM220" s="16"/>
      <c r="AN220" s="16"/>
      <c r="AO220" s="16"/>
      <c r="AP220" s="16"/>
      <c r="AQ220" s="16"/>
      <c r="AR220" s="16"/>
      <c r="AS220" s="16"/>
      <c r="AT220" s="16"/>
    </row>
    <row r="221" spans="2:46" x14ac:dyDescent="0.3">
      <c r="B221" s="16"/>
      <c r="C221" s="16"/>
      <c r="D221" s="16"/>
      <c r="E221" s="16"/>
      <c r="F221" s="24"/>
      <c r="G221" s="24"/>
      <c r="H221" s="24"/>
      <c r="I221" s="24"/>
      <c r="J221" s="24"/>
      <c r="K221" s="16"/>
      <c r="L221" s="16"/>
      <c r="M221" s="16"/>
      <c r="N221" s="16"/>
      <c r="O221" s="16"/>
      <c r="P221" s="16"/>
      <c r="Q221" s="16"/>
      <c r="R221" s="16"/>
      <c r="S221" s="16"/>
      <c r="T221" s="16"/>
      <c r="U221" s="16"/>
      <c r="V221" s="16"/>
      <c r="W221" s="16"/>
      <c r="X221" s="16"/>
      <c r="Y221" s="16"/>
      <c r="Z221" s="16"/>
      <c r="AA221" s="16"/>
      <c r="AB221" s="16"/>
      <c r="AC221" s="16"/>
      <c r="AD221" s="16"/>
      <c r="AE221" s="16"/>
      <c r="AF221" s="16"/>
      <c r="AG221" s="16"/>
      <c r="AH221" s="16"/>
      <c r="AI221" s="16"/>
      <c r="AJ221" s="16"/>
      <c r="AK221" s="16"/>
      <c r="AL221" s="16"/>
      <c r="AM221" s="16"/>
      <c r="AN221" s="16"/>
      <c r="AO221" s="16"/>
      <c r="AP221" s="16"/>
      <c r="AQ221" s="16"/>
      <c r="AR221" s="16"/>
      <c r="AS221" s="16"/>
      <c r="AT221" s="16"/>
    </row>
    <row r="222" spans="2:46" x14ac:dyDescent="0.3">
      <c r="B222" s="16"/>
      <c r="C222" s="16"/>
      <c r="D222" s="16"/>
      <c r="E222" s="16"/>
      <c r="F222" s="24"/>
      <c r="G222" s="24"/>
      <c r="H222" s="24"/>
      <c r="I222" s="24"/>
      <c r="J222" s="24"/>
      <c r="K222" s="16"/>
      <c r="L222" s="16"/>
      <c r="M222" s="16"/>
      <c r="N222" s="16"/>
      <c r="O222" s="16"/>
      <c r="P222" s="16"/>
      <c r="Q222" s="16"/>
      <c r="R222" s="16"/>
      <c r="S222" s="16"/>
      <c r="T222" s="16"/>
      <c r="U222" s="16"/>
      <c r="V222" s="16"/>
      <c r="W222" s="16"/>
      <c r="X222" s="16"/>
      <c r="Y222" s="16"/>
      <c r="Z222" s="16"/>
      <c r="AA222" s="16"/>
      <c r="AB222" s="16"/>
      <c r="AC222" s="16"/>
      <c r="AD222" s="16"/>
      <c r="AE222" s="16"/>
      <c r="AF222" s="16"/>
      <c r="AG222" s="16"/>
      <c r="AH222" s="16"/>
      <c r="AI222" s="16"/>
      <c r="AJ222" s="16"/>
      <c r="AK222" s="16"/>
      <c r="AL222" s="16"/>
      <c r="AM222" s="16"/>
      <c r="AN222" s="16"/>
      <c r="AO222" s="16"/>
      <c r="AP222" s="16"/>
      <c r="AQ222" s="16"/>
      <c r="AR222" s="16"/>
      <c r="AS222" s="16"/>
      <c r="AT222" s="16"/>
    </row>
    <row r="223" spans="2:46" x14ac:dyDescent="0.3">
      <c r="B223" s="16"/>
      <c r="C223" s="16"/>
      <c r="D223" s="16"/>
      <c r="E223" s="16"/>
      <c r="F223" s="24"/>
      <c r="G223" s="24"/>
      <c r="H223" s="24"/>
      <c r="I223" s="24"/>
      <c r="J223" s="24"/>
      <c r="K223" s="16"/>
      <c r="L223" s="16"/>
      <c r="M223" s="16"/>
      <c r="N223" s="16"/>
      <c r="O223" s="16"/>
      <c r="P223" s="16"/>
      <c r="Q223" s="16"/>
      <c r="R223" s="16"/>
      <c r="S223" s="16"/>
      <c r="T223" s="16"/>
      <c r="U223" s="16"/>
      <c r="V223" s="16"/>
      <c r="W223" s="16"/>
      <c r="X223" s="16"/>
      <c r="Y223" s="16"/>
      <c r="Z223" s="16"/>
      <c r="AA223" s="16"/>
      <c r="AB223" s="16"/>
      <c r="AC223" s="16"/>
      <c r="AD223" s="16"/>
      <c r="AE223" s="16"/>
      <c r="AF223" s="16"/>
      <c r="AG223" s="16"/>
      <c r="AH223" s="16"/>
      <c r="AI223" s="16"/>
      <c r="AJ223" s="16"/>
      <c r="AK223" s="16"/>
      <c r="AL223" s="16"/>
      <c r="AM223" s="16"/>
      <c r="AN223" s="16"/>
      <c r="AO223" s="16"/>
      <c r="AP223" s="16"/>
      <c r="AQ223" s="16"/>
      <c r="AR223" s="16"/>
      <c r="AS223" s="16"/>
      <c r="AT223" s="16"/>
    </row>
    <row r="224" spans="2:46" x14ac:dyDescent="0.3">
      <c r="B224" s="16"/>
      <c r="C224" s="16"/>
      <c r="D224" s="16"/>
      <c r="E224" s="16"/>
      <c r="F224" s="24"/>
      <c r="G224" s="24"/>
      <c r="H224" s="24"/>
      <c r="I224" s="24"/>
      <c r="J224" s="24"/>
      <c r="K224" s="16"/>
      <c r="L224" s="16"/>
      <c r="M224" s="16"/>
      <c r="N224" s="16"/>
      <c r="O224" s="16"/>
      <c r="P224" s="16"/>
      <c r="Q224" s="16"/>
      <c r="R224" s="16"/>
      <c r="S224" s="16"/>
      <c r="T224" s="16"/>
      <c r="U224" s="16"/>
      <c r="V224" s="16"/>
      <c r="W224" s="16"/>
      <c r="X224" s="16"/>
      <c r="Y224" s="16"/>
      <c r="Z224" s="16"/>
      <c r="AA224" s="16"/>
      <c r="AB224" s="16"/>
      <c r="AC224" s="16"/>
      <c r="AD224" s="16"/>
      <c r="AE224" s="16"/>
      <c r="AF224" s="16"/>
      <c r="AG224" s="16"/>
      <c r="AH224" s="16"/>
      <c r="AI224" s="16"/>
      <c r="AJ224" s="16"/>
      <c r="AK224" s="16"/>
      <c r="AL224" s="16"/>
      <c r="AM224" s="16"/>
      <c r="AN224" s="16"/>
      <c r="AO224" s="16"/>
      <c r="AP224" s="16"/>
      <c r="AQ224" s="16"/>
      <c r="AR224" s="16"/>
      <c r="AS224" s="16"/>
      <c r="AT224" s="16"/>
    </row>
    <row r="225" spans="2:46" x14ac:dyDescent="0.3">
      <c r="B225" s="16"/>
      <c r="C225" s="16"/>
      <c r="D225" s="16"/>
      <c r="E225" s="16"/>
      <c r="F225" s="24"/>
      <c r="G225" s="24"/>
      <c r="H225" s="24"/>
      <c r="I225" s="24"/>
      <c r="J225" s="24"/>
      <c r="K225" s="16"/>
      <c r="L225" s="16"/>
      <c r="M225" s="16"/>
      <c r="N225" s="16"/>
      <c r="O225" s="16"/>
      <c r="P225" s="16"/>
      <c r="Q225" s="16"/>
      <c r="R225" s="16"/>
      <c r="S225" s="16"/>
      <c r="T225" s="16"/>
      <c r="U225" s="16"/>
      <c r="V225" s="16"/>
      <c r="W225" s="16"/>
      <c r="X225" s="16"/>
      <c r="Y225" s="16"/>
      <c r="Z225" s="16"/>
      <c r="AA225" s="16"/>
      <c r="AB225" s="16"/>
      <c r="AC225" s="16"/>
      <c r="AD225" s="16"/>
      <c r="AE225" s="16"/>
      <c r="AF225" s="16"/>
      <c r="AG225" s="16"/>
      <c r="AH225" s="16"/>
      <c r="AI225" s="16"/>
      <c r="AJ225" s="16"/>
      <c r="AK225" s="16"/>
      <c r="AL225" s="16"/>
      <c r="AM225" s="16"/>
      <c r="AN225" s="16"/>
      <c r="AO225" s="16"/>
      <c r="AP225" s="16"/>
      <c r="AQ225" s="16"/>
      <c r="AR225" s="16"/>
      <c r="AS225" s="16"/>
      <c r="AT225" s="16"/>
    </row>
    <row r="226" spans="2:46" x14ac:dyDescent="0.3">
      <c r="B226" s="16"/>
      <c r="C226" s="16"/>
      <c r="D226" s="16"/>
      <c r="E226" s="16"/>
      <c r="F226" s="24"/>
      <c r="G226" s="24"/>
      <c r="H226" s="24"/>
      <c r="I226" s="24"/>
      <c r="J226" s="24"/>
      <c r="K226" s="16"/>
      <c r="L226" s="16"/>
      <c r="M226" s="16"/>
      <c r="N226" s="16"/>
      <c r="O226" s="16"/>
      <c r="P226" s="16"/>
      <c r="Q226" s="16"/>
      <c r="R226" s="16"/>
      <c r="S226" s="16"/>
      <c r="T226" s="16"/>
      <c r="U226" s="16"/>
      <c r="V226" s="16"/>
      <c r="W226" s="16"/>
      <c r="X226" s="16"/>
      <c r="Y226" s="16"/>
      <c r="Z226" s="16"/>
      <c r="AA226" s="16"/>
      <c r="AB226" s="16"/>
      <c r="AC226" s="16"/>
      <c r="AD226" s="16"/>
      <c r="AE226" s="16"/>
      <c r="AF226" s="16"/>
      <c r="AG226" s="16"/>
      <c r="AH226" s="16"/>
      <c r="AI226" s="16"/>
      <c r="AJ226" s="16"/>
      <c r="AK226" s="16"/>
      <c r="AL226" s="16"/>
      <c r="AM226" s="16"/>
      <c r="AN226" s="16"/>
      <c r="AO226" s="16"/>
      <c r="AP226" s="16"/>
      <c r="AQ226" s="16"/>
      <c r="AR226" s="16"/>
      <c r="AS226" s="16"/>
      <c r="AT226" s="16"/>
    </row>
    <row r="227" spans="2:46" x14ac:dyDescent="0.3">
      <c r="B227" s="16"/>
      <c r="C227" s="16"/>
      <c r="D227" s="16"/>
      <c r="E227" s="16"/>
      <c r="F227" s="24"/>
      <c r="G227" s="24"/>
      <c r="H227" s="24"/>
      <c r="I227" s="24"/>
      <c r="J227" s="24"/>
      <c r="K227" s="16"/>
      <c r="L227" s="16"/>
      <c r="M227" s="16"/>
      <c r="N227" s="16"/>
      <c r="O227" s="16"/>
      <c r="P227" s="16"/>
      <c r="Q227" s="16"/>
      <c r="R227" s="16"/>
      <c r="S227" s="16"/>
      <c r="T227" s="16"/>
      <c r="U227" s="16"/>
      <c r="V227" s="16"/>
      <c r="W227" s="16"/>
      <c r="X227" s="16"/>
      <c r="Y227" s="16"/>
      <c r="Z227" s="16"/>
      <c r="AA227" s="16"/>
      <c r="AB227" s="16"/>
      <c r="AC227" s="16"/>
      <c r="AD227" s="16"/>
      <c r="AE227" s="16"/>
      <c r="AF227" s="16"/>
      <c r="AG227" s="16"/>
      <c r="AH227" s="16"/>
      <c r="AI227" s="16"/>
      <c r="AJ227" s="16"/>
      <c r="AK227" s="16"/>
      <c r="AL227" s="16"/>
      <c r="AM227" s="16"/>
      <c r="AN227" s="16"/>
      <c r="AO227" s="16"/>
      <c r="AP227" s="16"/>
      <c r="AQ227" s="16"/>
      <c r="AR227" s="16"/>
      <c r="AS227" s="16"/>
      <c r="AT227" s="16"/>
    </row>
    <row r="228" spans="2:46" x14ac:dyDescent="0.3">
      <c r="B228" s="16"/>
      <c r="C228" s="16"/>
      <c r="D228" s="16"/>
      <c r="E228" s="16"/>
      <c r="F228" s="24"/>
      <c r="G228" s="24"/>
      <c r="H228" s="24"/>
      <c r="I228" s="24"/>
      <c r="J228" s="24"/>
      <c r="K228" s="16"/>
      <c r="L228" s="16"/>
      <c r="M228" s="16"/>
      <c r="N228" s="16"/>
      <c r="O228" s="16"/>
      <c r="P228" s="16"/>
      <c r="Q228" s="16"/>
      <c r="R228" s="16"/>
      <c r="S228" s="16"/>
      <c r="T228" s="16"/>
      <c r="U228" s="16"/>
      <c r="V228" s="16"/>
      <c r="W228" s="16"/>
      <c r="X228" s="16"/>
      <c r="Y228" s="16"/>
      <c r="Z228" s="16"/>
      <c r="AA228" s="16"/>
      <c r="AB228" s="16"/>
      <c r="AC228" s="16"/>
      <c r="AD228" s="16"/>
      <c r="AE228" s="16"/>
      <c r="AF228" s="16"/>
      <c r="AG228" s="16"/>
      <c r="AH228" s="16"/>
      <c r="AI228" s="16"/>
      <c r="AJ228" s="16"/>
      <c r="AK228" s="16"/>
      <c r="AL228" s="16"/>
      <c r="AM228" s="16"/>
      <c r="AN228" s="16"/>
      <c r="AO228" s="16"/>
      <c r="AP228" s="16"/>
      <c r="AQ228" s="16"/>
      <c r="AR228" s="16"/>
      <c r="AS228" s="16"/>
      <c r="AT228" s="16"/>
    </row>
    <row r="229" spans="2:46" x14ac:dyDescent="0.3">
      <c r="B229" s="16"/>
      <c r="C229" s="16"/>
      <c r="D229" s="16"/>
      <c r="E229" s="16"/>
      <c r="F229" s="24"/>
      <c r="G229" s="24"/>
      <c r="H229" s="24"/>
      <c r="I229" s="24"/>
      <c r="J229" s="24"/>
      <c r="K229" s="16"/>
      <c r="L229" s="16"/>
      <c r="M229" s="16"/>
      <c r="N229" s="16"/>
      <c r="O229" s="16"/>
      <c r="P229" s="16"/>
      <c r="Q229" s="16"/>
      <c r="R229" s="16"/>
      <c r="S229" s="16"/>
      <c r="T229" s="16"/>
      <c r="U229" s="16"/>
      <c r="V229" s="16"/>
      <c r="W229" s="16"/>
      <c r="X229" s="16"/>
      <c r="Y229" s="16"/>
      <c r="Z229" s="16"/>
      <c r="AA229" s="16"/>
      <c r="AB229" s="16"/>
      <c r="AC229" s="16"/>
      <c r="AD229" s="16"/>
      <c r="AE229" s="16"/>
      <c r="AF229" s="16"/>
      <c r="AG229" s="16"/>
      <c r="AH229" s="16"/>
      <c r="AI229" s="16"/>
      <c r="AJ229" s="16"/>
      <c r="AK229" s="16"/>
      <c r="AL229" s="16"/>
      <c r="AM229" s="16"/>
      <c r="AN229" s="16"/>
      <c r="AO229" s="16"/>
      <c r="AP229" s="16"/>
      <c r="AQ229" s="16"/>
      <c r="AR229" s="16"/>
      <c r="AS229" s="16"/>
      <c r="AT229" s="16"/>
    </row>
    <row r="230" spans="2:46" x14ac:dyDescent="0.3">
      <c r="B230" s="16"/>
      <c r="C230" s="16"/>
      <c r="D230" s="16"/>
      <c r="E230" s="16"/>
      <c r="F230" s="24"/>
      <c r="G230" s="24"/>
      <c r="H230" s="24"/>
      <c r="I230" s="24"/>
      <c r="J230" s="24"/>
      <c r="K230" s="16"/>
      <c r="L230" s="16"/>
      <c r="M230" s="16"/>
      <c r="N230" s="16"/>
      <c r="O230" s="16"/>
      <c r="P230" s="16"/>
      <c r="Q230" s="16"/>
      <c r="R230" s="16"/>
      <c r="S230" s="16"/>
      <c r="T230" s="16"/>
      <c r="U230" s="16"/>
      <c r="V230" s="16"/>
      <c r="W230" s="16"/>
      <c r="X230" s="16"/>
      <c r="Y230" s="16"/>
      <c r="Z230" s="16"/>
      <c r="AA230" s="16"/>
      <c r="AB230" s="16"/>
      <c r="AC230" s="16"/>
      <c r="AD230" s="16"/>
      <c r="AE230" s="16"/>
      <c r="AF230" s="16"/>
      <c r="AG230" s="16"/>
      <c r="AH230" s="16"/>
      <c r="AI230" s="16"/>
      <c r="AJ230" s="16"/>
      <c r="AK230" s="16"/>
      <c r="AL230" s="16"/>
      <c r="AM230" s="16"/>
      <c r="AN230" s="16"/>
      <c r="AO230" s="16"/>
      <c r="AP230" s="16"/>
      <c r="AQ230" s="16"/>
      <c r="AR230" s="16"/>
      <c r="AS230" s="16"/>
      <c r="AT230" s="16"/>
    </row>
    <row r="231" spans="2:46" x14ac:dyDescent="0.3">
      <c r="B231" s="16"/>
      <c r="C231" s="16"/>
      <c r="D231" s="16"/>
      <c r="E231" s="16"/>
      <c r="F231" s="24"/>
      <c r="G231" s="24"/>
      <c r="H231" s="24"/>
      <c r="I231" s="24"/>
      <c r="J231" s="24"/>
      <c r="K231" s="16"/>
      <c r="L231" s="16"/>
      <c r="M231" s="16"/>
      <c r="N231" s="16"/>
      <c r="O231" s="16"/>
      <c r="P231" s="16"/>
      <c r="Q231" s="16"/>
      <c r="R231" s="16"/>
      <c r="S231" s="16"/>
      <c r="T231" s="16"/>
      <c r="U231" s="16"/>
      <c r="V231" s="16"/>
      <c r="W231" s="16"/>
      <c r="X231" s="16"/>
      <c r="Y231" s="16"/>
      <c r="Z231" s="16"/>
      <c r="AA231" s="16"/>
      <c r="AB231" s="16"/>
      <c r="AC231" s="16"/>
      <c r="AD231" s="16"/>
      <c r="AE231" s="16"/>
      <c r="AF231" s="16"/>
      <c r="AG231" s="16"/>
      <c r="AH231" s="16"/>
      <c r="AI231" s="16"/>
      <c r="AJ231" s="16"/>
      <c r="AK231" s="16"/>
      <c r="AL231" s="16"/>
      <c r="AM231" s="16"/>
      <c r="AN231" s="16"/>
      <c r="AO231" s="16"/>
      <c r="AP231" s="16"/>
      <c r="AQ231" s="16"/>
      <c r="AR231" s="16"/>
      <c r="AS231" s="16"/>
      <c r="AT231" s="16"/>
    </row>
    <row r="232" spans="2:46" x14ac:dyDescent="0.3">
      <c r="B232" s="16"/>
      <c r="C232" s="16"/>
      <c r="D232" s="16"/>
      <c r="E232" s="16"/>
      <c r="F232" s="24"/>
      <c r="G232" s="24"/>
      <c r="H232" s="24"/>
      <c r="I232" s="24"/>
      <c r="J232" s="24"/>
      <c r="K232" s="16"/>
      <c r="L232" s="16"/>
      <c r="M232" s="16"/>
      <c r="N232" s="16"/>
      <c r="O232" s="16"/>
      <c r="P232" s="16"/>
      <c r="Q232" s="16"/>
      <c r="R232" s="16"/>
      <c r="S232" s="16"/>
      <c r="T232" s="16"/>
      <c r="U232" s="16"/>
      <c r="V232" s="16"/>
      <c r="W232" s="16"/>
      <c r="X232" s="16"/>
      <c r="Y232" s="16"/>
      <c r="Z232" s="16"/>
      <c r="AA232" s="16"/>
      <c r="AB232" s="16"/>
      <c r="AC232" s="16"/>
      <c r="AD232" s="16"/>
      <c r="AE232" s="16"/>
      <c r="AF232" s="16"/>
      <c r="AG232" s="16"/>
      <c r="AH232" s="16"/>
      <c r="AI232" s="16"/>
      <c r="AJ232" s="16"/>
      <c r="AK232" s="16"/>
      <c r="AL232" s="16"/>
      <c r="AM232" s="16"/>
      <c r="AN232" s="16"/>
      <c r="AO232" s="16"/>
      <c r="AP232" s="16"/>
      <c r="AQ232" s="16"/>
      <c r="AR232" s="16"/>
      <c r="AS232" s="16"/>
      <c r="AT232" s="16"/>
    </row>
    <row r="233" spans="2:46" x14ac:dyDescent="0.3">
      <c r="B233" s="16"/>
      <c r="C233" s="16"/>
      <c r="D233" s="16"/>
      <c r="E233" s="16"/>
      <c r="F233" s="24"/>
      <c r="G233" s="24"/>
      <c r="H233" s="24"/>
      <c r="I233" s="24"/>
      <c r="J233" s="24"/>
      <c r="K233" s="16"/>
      <c r="L233" s="16"/>
      <c r="M233" s="16"/>
      <c r="N233" s="16"/>
      <c r="O233" s="16"/>
      <c r="P233" s="16"/>
      <c r="Q233" s="16"/>
      <c r="R233" s="16"/>
      <c r="S233" s="16"/>
      <c r="T233" s="16"/>
      <c r="U233" s="16"/>
      <c r="V233" s="16"/>
      <c r="W233" s="16"/>
      <c r="X233" s="16"/>
      <c r="Y233" s="16"/>
      <c r="Z233" s="16"/>
      <c r="AA233" s="16"/>
      <c r="AB233" s="16"/>
      <c r="AC233" s="16"/>
      <c r="AD233" s="16"/>
      <c r="AE233" s="16"/>
      <c r="AF233" s="16"/>
      <c r="AG233" s="16"/>
      <c r="AH233" s="16"/>
      <c r="AI233" s="16"/>
      <c r="AJ233" s="16"/>
      <c r="AK233" s="16"/>
      <c r="AL233" s="16"/>
      <c r="AM233" s="16"/>
      <c r="AN233" s="16"/>
      <c r="AO233" s="16"/>
      <c r="AP233" s="16"/>
      <c r="AQ233" s="16"/>
      <c r="AR233" s="16"/>
      <c r="AS233" s="16"/>
      <c r="AT233" s="16"/>
    </row>
    <row r="234" spans="2:46" x14ac:dyDescent="0.3">
      <c r="B234" s="16"/>
      <c r="C234" s="16"/>
      <c r="D234" s="16"/>
      <c r="E234" s="16"/>
      <c r="F234" s="24"/>
      <c r="G234" s="24"/>
      <c r="H234" s="24"/>
      <c r="I234" s="24"/>
      <c r="J234" s="24"/>
      <c r="K234" s="16"/>
      <c r="L234" s="16"/>
      <c r="M234" s="16"/>
      <c r="N234" s="16"/>
      <c r="O234" s="16"/>
      <c r="P234" s="16"/>
      <c r="Q234" s="16"/>
      <c r="R234" s="16"/>
      <c r="S234" s="16"/>
      <c r="T234" s="16"/>
      <c r="U234" s="16"/>
      <c r="V234" s="16"/>
      <c r="W234" s="16"/>
      <c r="X234" s="16"/>
      <c r="Y234" s="16"/>
      <c r="Z234" s="16"/>
      <c r="AA234" s="16"/>
      <c r="AB234" s="16"/>
      <c r="AC234" s="16"/>
      <c r="AD234" s="16"/>
      <c r="AE234" s="16"/>
      <c r="AF234" s="16"/>
      <c r="AG234" s="16"/>
      <c r="AH234" s="16"/>
      <c r="AI234" s="16"/>
      <c r="AJ234" s="16"/>
      <c r="AK234" s="16"/>
      <c r="AL234" s="16"/>
      <c r="AM234" s="16"/>
      <c r="AN234" s="16"/>
      <c r="AO234" s="16"/>
      <c r="AP234" s="16"/>
      <c r="AQ234" s="16"/>
      <c r="AR234" s="16"/>
      <c r="AS234" s="16"/>
      <c r="AT234" s="16"/>
    </row>
    <row r="235" spans="2:46" x14ac:dyDescent="0.3">
      <c r="B235" s="16"/>
      <c r="C235" s="16"/>
      <c r="D235" s="16"/>
      <c r="E235" s="16"/>
      <c r="F235" s="24"/>
      <c r="G235" s="24"/>
      <c r="H235" s="24"/>
      <c r="I235" s="24"/>
      <c r="J235" s="24"/>
      <c r="K235" s="16"/>
      <c r="L235" s="16"/>
      <c r="M235" s="16"/>
      <c r="N235" s="16"/>
      <c r="O235" s="16"/>
      <c r="P235" s="16"/>
      <c r="Q235" s="16"/>
      <c r="R235" s="16"/>
      <c r="S235" s="16"/>
      <c r="T235" s="16"/>
      <c r="U235" s="16"/>
      <c r="V235" s="16"/>
      <c r="W235" s="16"/>
      <c r="X235" s="16"/>
      <c r="Y235" s="16"/>
      <c r="Z235" s="16"/>
      <c r="AA235" s="16"/>
      <c r="AB235" s="16"/>
      <c r="AC235" s="16"/>
      <c r="AD235" s="16"/>
      <c r="AE235" s="16"/>
      <c r="AF235" s="16"/>
      <c r="AG235" s="16"/>
      <c r="AH235" s="16"/>
      <c r="AI235" s="16"/>
      <c r="AJ235" s="16"/>
      <c r="AK235" s="16"/>
      <c r="AL235" s="16"/>
      <c r="AM235" s="16"/>
      <c r="AN235" s="16"/>
      <c r="AO235" s="16"/>
      <c r="AP235" s="16"/>
      <c r="AQ235" s="16"/>
      <c r="AR235" s="16"/>
      <c r="AS235" s="16"/>
      <c r="AT235" s="16"/>
    </row>
    <row r="236" spans="2:46" x14ac:dyDescent="0.3">
      <c r="B236" s="16"/>
      <c r="C236" s="16"/>
      <c r="D236" s="16"/>
      <c r="E236" s="16"/>
      <c r="F236" s="24"/>
      <c r="G236" s="24"/>
      <c r="H236" s="24"/>
      <c r="I236" s="24"/>
      <c r="J236" s="24"/>
      <c r="K236" s="16"/>
      <c r="L236" s="16"/>
      <c r="M236" s="16"/>
      <c r="N236" s="16"/>
      <c r="O236" s="16"/>
      <c r="P236" s="16"/>
      <c r="Q236" s="16"/>
      <c r="R236" s="16"/>
      <c r="S236" s="16"/>
      <c r="T236" s="16"/>
      <c r="U236" s="16"/>
      <c r="V236" s="16"/>
      <c r="W236" s="16"/>
      <c r="X236" s="16"/>
      <c r="Y236" s="16"/>
      <c r="Z236" s="16"/>
      <c r="AA236" s="16"/>
      <c r="AB236" s="16"/>
      <c r="AC236" s="16"/>
      <c r="AD236" s="16"/>
      <c r="AE236" s="16"/>
      <c r="AF236" s="16"/>
      <c r="AG236" s="16"/>
      <c r="AH236" s="16"/>
      <c r="AI236" s="16"/>
      <c r="AJ236" s="16"/>
      <c r="AK236" s="16"/>
      <c r="AL236" s="16"/>
      <c r="AM236" s="16"/>
      <c r="AN236" s="16"/>
      <c r="AO236" s="16"/>
      <c r="AP236" s="16"/>
      <c r="AQ236" s="16"/>
      <c r="AR236" s="16"/>
      <c r="AS236" s="16"/>
      <c r="AT236" s="16"/>
    </row>
    <row r="237" spans="2:46" x14ac:dyDescent="0.3">
      <c r="B237" s="16"/>
      <c r="C237" s="16"/>
      <c r="D237" s="16"/>
      <c r="E237" s="16"/>
      <c r="F237" s="24"/>
      <c r="G237" s="24"/>
      <c r="H237" s="24"/>
      <c r="I237" s="24"/>
      <c r="J237" s="24"/>
      <c r="K237" s="16"/>
      <c r="L237" s="16"/>
      <c r="M237" s="16"/>
      <c r="N237" s="16"/>
      <c r="O237" s="16"/>
      <c r="P237" s="16"/>
      <c r="Q237" s="16"/>
      <c r="R237" s="16"/>
      <c r="S237" s="16"/>
      <c r="T237" s="16"/>
      <c r="U237" s="16"/>
      <c r="V237" s="16"/>
      <c r="W237" s="16"/>
      <c r="X237" s="16"/>
      <c r="Y237" s="16"/>
      <c r="Z237" s="16"/>
      <c r="AA237" s="16"/>
      <c r="AB237" s="16"/>
      <c r="AC237" s="16"/>
      <c r="AD237" s="16"/>
      <c r="AE237" s="16"/>
      <c r="AF237" s="16"/>
      <c r="AG237" s="16"/>
      <c r="AH237" s="16"/>
      <c r="AI237" s="16"/>
      <c r="AJ237" s="16"/>
      <c r="AK237" s="16"/>
      <c r="AL237" s="16"/>
      <c r="AM237" s="16"/>
      <c r="AN237" s="16"/>
      <c r="AO237" s="16"/>
      <c r="AP237" s="16"/>
      <c r="AQ237" s="16"/>
      <c r="AR237" s="16"/>
      <c r="AS237" s="16"/>
      <c r="AT237" s="16"/>
    </row>
    <row r="238" spans="2:46" x14ac:dyDescent="0.3">
      <c r="B238" s="16"/>
      <c r="C238" s="16"/>
      <c r="D238" s="16"/>
      <c r="E238" s="16"/>
      <c r="F238" s="24"/>
      <c r="G238" s="24"/>
      <c r="H238" s="24"/>
      <c r="I238" s="24"/>
      <c r="J238" s="24"/>
      <c r="K238" s="16"/>
      <c r="L238" s="16"/>
      <c r="M238" s="16"/>
      <c r="N238" s="16"/>
      <c r="O238" s="16"/>
      <c r="P238" s="16"/>
      <c r="Q238" s="16"/>
      <c r="R238" s="16"/>
      <c r="S238" s="16"/>
      <c r="T238" s="16"/>
      <c r="U238" s="16"/>
      <c r="V238" s="16"/>
      <c r="W238" s="16"/>
      <c r="X238" s="16"/>
      <c r="Y238" s="16"/>
      <c r="Z238" s="16"/>
      <c r="AA238" s="16"/>
      <c r="AB238" s="16"/>
      <c r="AC238" s="16"/>
      <c r="AD238" s="16"/>
      <c r="AE238" s="16"/>
      <c r="AF238" s="16"/>
      <c r="AG238" s="16"/>
      <c r="AH238" s="16"/>
      <c r="AI238" s="16"/>
      <c r="AJ238" s="16"/>
      <c r="AK238" s="16"/>
      <c r="AL238" s="16"/>
      <c r="AM238" s="16"/>
      <c r="AN238" s="16"/>
      <c r="AO238" s="16"/>
      <c r="AP238" s="16"/>
      <c r="AQ238" s="16"/>
      <c r="AR238" s="16"/>
      <c r="AS238" s="16"/>
      <c r="AT238" s="16"/>
    </row>
    <row r="239" spans="2:46" x14ac:dyDescent="0.3">
      <c r="B239" s="16"/>
      <c r="C239" s="16"/>
      <c r="D239" s="16"/>
      <c r="E239" s="16"/>
      <c r="F239" s="24"/>
      <c r="G239" s="24"/>
      <c r="H239" s="24"/>
      <c r="I239" s="24"/>
      <c r="J239" s="24"/>
      <c r="K239" s="16"/>
      <c r="L239" s="16"/>
      <c r="M239" s="16"/>
      <c r="N239" s="16"/>
      <c r="O239" s="16"/>
      <c r="P239" s="16"/>
      <c r="Q239" s="16"/>
      <c r="R239" s="16"/>
      <c r="S239" s="16"/>
      <c r="T239" s="16"/>
      <c r="U239" s="16"/>
      <c r="V239" s="16"/>
      <c r="W239" s="16"/>
      <c r="X239" s="16"/>
      <c r="Y239" s="16"/>
      <c r="Z239" s="16"/>
      <c r="AA239" s="16"/>
      <c r="AB239" s="16"/>
      <c r="AC239" s="16"/>
      <c r="AD239" s="16"/>
      <c r="AE239" s="16"/>
      <c r="AF239" s="16"/>
      <c r="AG239" s="16"/>
      <c r="AH239" s="16"/>
      <c r="AI239" s="16"/>
      <c r="AJ239" s="16"/>
      <c r="AK239" s="16"/>
      <c r="AL239" s="16"/>
      <c r="AM239" s="16"/>
      <c r="AN239" s="16"/>
      <c r="AO239" s="16"/>
      <c r="AP239" s="16"/>
      <c r="AQ239" s="16"/>
      <c r="AR239" s="16"/>
      <c r="AS239" s="16"/>
      <c r="AT239" s="16"/>
    </row>
    <row r="240" spans="2:46" x14ac:dyDescent="0.3">
      <c r="B240" s="16"/>
      <c r="C240" s="16"/>
      <c r="D240" s="16"/>
      <c r="E240" s="16"/>
      <c r="F240" s="24"/>
      <c r="G240" s="24"/>
      <c r="H240" s="24"/>
      <c r="I240" s="24"/>
      <c r="J240" s="24"/>
      <c r="K240" s="16"/>
      <c r="L240" s="16"/>
      <c r="M240" s="16"/>
      <c r="N240" s="16"/>
      <c r="O240" s="16"/>
      <c r="P240" s="16"/>
      <c r="Q240" s="16"/>
      <c r="R240" s="16"/>
      <c r="S240" s="16"/>
      <c r="T240" s="16"/>
      <c r="U240" s="16"/>
      <c r="V240" s="16"/>
      <c r="W240" s="16"/>
      <c r="X240" s="16"/>
      <c r="Y240" s="16"/>
      <c r="Z240" s="16"/>
      <c r="AA240" s="16"/>
      <c r="AB240" s="16"/>
      <c r="AC240" s="16"/>
      <c r="AD240" s="16"/>
      <c r="AE240" s="16"/>
      <c r="AF240" s="16"/>
      <c r="AG240" s="16"/>
      <c r="AH240" s="16"/>
      <c r="AI240" s="16"/>
      <c r="AJ240" s="16"/>
      <c r="AK240" s="16"/>
      <c r="AL240" s="16"/>
      <c r="AM240" s="16"/>
      <c r="AN240" s="16"/>
      <c r="AO240" s="16"/>
      <c r="AP240" s="16"/>
      <c r="AQ240" s="16"/>
      <c r="AR240" s="16"/>
      <c r="AS240" s="16"/>
      <c r="AT240" s="16"/>
    </row>
    <row r="241" spans="2:46" x14ac:dyDescent="0.3">
      <c r="B241" s="16"/>
      <c r="C241" s="16"/>
      <c r="D241" s="16"/>
      <c r="E241" s="16"/>
      <c r="F241" s="24"/>
      <c r="G241" s="24"/>
      <c r="H241" s="24"/>
      <c r="I241" s="24"/>
      <c r="J241" s="24"/>
      <c r="K241" s="16"/>
      <c r="L241" s="16"/>
      <c r="M241" s="16"/>
      <c r="N241" s="16"/>
      <c r="O241" s="16"/>
      <c r="P241" s="16"/>
      <c r="Q241" s="16"/>
      <c r="R241" s="16"/>
      <c r="S241" s="16"/>
      <c r="T241" s="16"/>
      <c r="U241" s="16"/>
      <c r="V241" s="16"/>
      <c r="W241" s="16"/>
      <c r="X241" s="16"/>
      <c r="Y241" s="16"/>
      <c r="Z241" s="16"/>
      <c r="AA241" s="16"/>
      <c r="AB241" s="16"/>
      <c r="AC241" s="16"/>
      <c r="AD241" s="16"/>
      <c r="AE241" s="16"/>
      <c r="AF241" s="16"/>
      <c r="AG241" s="16"/>
      <c r="AH241" s="16"/>
      <c r="AI241" s="16"/>
      <c r="AJ241" s="16"/>
      <c r="AK241" s="16"/>
      <c r="AL241" s="16"/>
      <c r="AM241" s="16"/>
      <c r="AN241" s="16"/>
      <c r="AO241" s="16"/>
      <c r="AP241" s="16"/>
      <c r="AQ241" s="16"/>
      <c r="AR241" s="16"/>
      <c r="AS241" s="16"/>
      <c r="AT241" s="16"/>
    </row>
    <row r="242" spans="2:46" x14ac:dyDescent="0.3">
      <c r="B242" s="16"/>
      <c r="C242" s="16"/>
      <c r="D242" s="16"/>
      <c r="E242" s="16"/>
      <c r="F242" s="24"/>
      <c r="G242" s="24"/>
      <c r="H242" s="24"/>
      <c r="I242" s="24"/>
      <c r="J242" s="24"/>
      <c r="K242" s="16"/>
      <c r="L242" s="16"/>
      <c r="M242" s="16"/>
      <c r="N242" s="16"/>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c r="AO242" s="16"/>
      <c r="AP242" s="16"/>
      <c r="AQ242" s="16"/>
      <c r="AR242" s="16"/>
      <c r="AS242" s="16"/>
      <c r="AT242" s="16"/>
    </row>
    <row r="243" spans="2:46" x14ac:dyDescent="0.3">
      <c r="B243" s="16"/>
      <c r="C243" s="16"/>
      <c r="D243" s="16"/>
      <c r="E243" s="16"/>
      <c r="F243" s="24"/>
      <c r="G243" s="24"/>
      <c r="H243" s="24"/>
      <c r="I243" s="24"/>
      <c r="J243" s="24"/>
      <c r="K243" s="16"/>
      <c r="L243" s="16"/>
      <c r="M243" s="16"/>
      <c r="N243" s="16"/>
      <c r="O243" s="16"/>
      <c r="P243" s="16"/>
      <c r="Q243" s="16"/>
      <c r="R243" s="16"/>
      <c r="S243" s="16"/>
      <c r="T243" s="16"/>
      <c r="U243" s="16"/>
      <c r="V243" s="16"/>
      <c r="W243" s="16"/>
      <c r="X243" s="16"/>
      <c r="Y243" s="16"/>
      <c r="Z243" s="16"/>
      <c r="AA243" s="16"/>
      <c r="AB243" s="16"/>
      <c r="AC243" s="16"/>
      <c r="AD243" s="16"/>
      <c r="AE243" s="16"/>
      <c r="AF243" s="16"/>
      <c r="AG243" s="16"/>
      <c r="AH243" s="16"/>
      <c r="AI243" s="16"/>
      <c r="AJ243" s="16"/>
      <c r="AK243" s="16"/>
      <c r="AL243" s="16"/>
      <c r="AM243" s="16"/>
      <c r="AN243" s="16"/>
      <c r="AO243" s="16"/>
      <c r="AP243" s="16"/>
      <c r="AQ243" s="16"/>
      <c r="AR243" s="16"/>
      <c r="AS243" s="16"/>
      <c r="AT243" s="16"/>
    </row>
    <row r="244" spans="2:46" x14ac:dyDescent="0.3">
      <c r="B244" s="16"/>
      <c r="C244" s="16"/>
      <c r="D244" s="16"/>
      <c r="E244" s="16"/>
      <c r="F244" s="24"/>
      <c r="G244" s="24"/>
      <c r="H244" s="24"/>
      <c r="I244" s="24"/>
      <c r="J244" s="24"/>
      <c r="K244" s="16"/>
      <c r="L244" s="16"/>
      <c r="M244" s="16"/>
      <c r="N244" s="16"/>
      <c r="O244" s="16"/>
      <c r="P244" s="16"/>
      <c r="Q244" s="16"/>
      <c r="R244" s="16"/>
      <c r="S244" s="16"/>
      <c r="T244" s="16"/>
      <c r="U244" s="16"/>
      <c r="V244" s="16"/>
      <c r="W244" s="16"/>
      <c r="X244" s="16"/>
      <c r="Y244" s="16"/>
      <c r="Z244" s="16"/>
      <c r="AA244" s="16"/>
      <c r="AB244" s="16"/>
      <c r="AC244" s="16"/>
      <c r="AD244" s="16"/>
      <c r="AE244" s="16"/>
      <c r="AF244" s="16"/>
      <c r="AG244" s="16"/>
      <c r="AH244" s="16"/>
      <c r="AI244" s="16"/>
      <c r="AJ244" s="16"/>
      <c r="AK244" s="16"/>
      <c r="AL244" s="16"/>
      <c r="AM244" s="16"/>
      <c r="AN244" s="16"/>
      <c r="AO244" s="16"/>
      <c r="AP244" s="16"/>
      <c r="AQ244" s="16"/>
      <c r="AR244" s="16"/>
      <c r="AS244" s="16"/>
      <c r="AT244" s="16"/>
    </row>
    <row r="245" spans="2:46" x14ac:dyDescent="0.3">
      <c r="B245" s="16"/>
      <c r="C245" s="16"/>
      <c r="D245" s="16"/>
      <c r="E245" s="16"/>
      <c r="F245" s="24"/>
      <c r="G245" s="24"/>
      <c r="H245" s="24"/>
      <c r="I245" s="24"/>
      <c r="J245" s="24"/>
      <c r="K245" s="16"/>
      <c r="L245" s="16"/>
      <c r="M245" s="16"/>
      <c r="N245" s="16"/>
      <c r="O245" s="16"/>
      <c r="P245" s="16"/>
      <c r="Q245" s="16"/>
      <c r="R245" s="16"/>
      <c r="S245" s="16"/>
      <c r="T245" s="16"/>
      <c r="U245" s="16"/>
      <c r="V245" s="16"/>
      <c r="W245" s="16"/>
      <c r="X245" s="16"/>
      <c r="Y245" s="16"/>
      <c r="Z245" s="16"/>
      <c r="AA245" s="16"/>
      <c r="AB245" s="16"/>
      <c r="AC245" s="16"/>
      <c r="AD245" s="16"/>
      <c r="AE245" s="16"/>
      <c r="AF245" s="16"/>
      <c r="AG245" s="16"/>
      <c r="AH245" s="16"/>
      <c r="AI245" s="16"/>
      <c r="AJ245" s="16"/>
      <c r="AK245" s="16"/>
      <c r="AL245" s="16"/>
      <c r="AM245" s="16"/>
      <c r="AN245" s="16"/>
      <c r="AO245" s="16"/>
      <c r="AP245" s="16"/>
      <c r="AQ245" s="16"/>
      <c r="AR245" s="16"/>
      <c r="AS245" s="16"/>
      <c r="AT245" s="16"/>
    </row>
    <row r="246" spans="2:46" x14ac:dyDescent="0.3">
      <c r="E246" s="16"/>
      <c r="F246" s="24"/>
      <c r="G246" s="24"/>
      <c r="H246" s="24"/>
      <c r="I246" s="24"/>
      <c r="J246" s="24"/>
      <c r="K246" s="16"/>
      <c r="L246" s="16"/>
      <c r="M246" s="16"/>
      <c r="N246" s="16"/>
      <c r="O246" s="16"/>
      <c r="P246" s="16"/>
      <c r="Q246" s="16"/>
      <c r="R246" s="16"/>
      <c r="S246" s="16"/>
      <c r="T246" s="16"/>
      <c r="U246" s="16"/>
      <c r="V246" s="16"/>
      <c r="W246" s="16"/>
      <c r="X246" s="16"/>
      <c r="Y246" s="16"/>
      <c r="Z246" s="16"/>
      <c r="AA246" s="16"/>
      <c r="AB246" s="16"/>
      <c r="AC246" s="16"/>
      <c r="AD246" s="16"/>
      <c r="AE246" s="16"/>
      <c r="AF246" s="16"/>
      <c r="AG246" s="16"/>
      <c r="AH246" s="16"/>
      <c r="AI246" s="16"/>
      <c r="AJ246" s="16"/>
      <c r="AK246" s="16"/>
      <c r="AL246" s="16"/>
      <c r="AM246" s="16"/>
      <c r="AN246" s="16"/>
      <c r="AO246" s="16"/>
      <c r="AP246" s="16"/>
      <c r="AQ246" s="16"/>
      <c r="AR246" s="16"/>
      <c r="AS246" s="16"/>
      <c r="AT246" s="16"/>
    </row>
    <row r="247" spans="2:46" x14ac:dyDescent="0.3">
      <c r="F247" s="24"/>
      <c r="G247" s="24"/>
      <c r="H247" s="24"/>
      <c r="I247" s="24"/>
      <c r="J247" s="24"/>
      <c r="K247" s="16"/>
      <c r="L247" s="16"/>
      <c r="M247" s="16"/>
      <c r="N247" s="16"/>
      <c r="O247" s="16"/>
      <c r="P247" s="16"/>
      <c r="Q247" s="16"/>
      <c r="R247" s="16"/>
      <c r="S247" s="16"/>
      <c r="T247" s="16"/>
      <c r="U247" s="16"/>
      <c r="V247" s="16"/>
      <c r="W247" s="16"/>
      <c r="X247" s="16"/>
      <c r="Y247" s="16"/>
      <c r="Z247" s="16"/>
      <c r="AA247" s="16"/>
      <c r="AB247" s="16"/>
      <c r="AC247" s="16"/>
      <c r="AD247" s="16"/>
      <c r="AE247" s="16"/>
      <c r="AF247" s="16"/>
      <c r="AG247" s="16"/>
      <c r="AH247" s="16"/>
      <c r="AI247" s="16"/>
      <c r="AJ247" s="16"/>
      <c r="AK247" s="16"/>
      <c r="AL247" s="16"/>
      <c r="AM247" s="16"/>
      <c r="AN247" s="16"/>
      <c r="AO247" s="16"/>
      <c r="AP247" s="16"/>
      <c r="AQ247" s="16"/>
      <c r="AR247" s="16"/>
      <c r="AS247" s="16"/>
      <c r="AT247" s="16"/>
    </row>
    <row r="248" spans="2:46" x14ac:dyDescent="0.3">
      <c r="F248" s="25"/>
      <c r="G248" s="25"/>
      <c r="H248" s="25"/>
      <c r="I248" s="25"/>
      <c r="J248" s="24"/>
      <c r="K248" s="16"/>
      <c r="L248" s="16"/>
      <c r="M248" s="16"/>
      <c r="N248" s="16"/>
      <c r="O248" s="16"/>
      <c r="P248" s="16"/>
      <c r="Q248" s="16"/>
      <c r="R248" s="16"/>
      <c r="S248" s="16"/>
      <c r="T248" s="16"/>
      <c r="U248" s="16"/>
      <c r="V248" s="16"/>
      <c r="W248" s="16"/>
      <c r="X248" s="16"/>
      <c r="Y248" s="16"/>
      <c r="Z248" s="16"/>
      <c r="AA248" s="16"/>
      <c r="AB248" s="16"/>
      <c r="AC248" s="16"/>
      <c r="AD248" s="16"/>
      <c r="AE248" s="16"/>
      <c r="AF248" s="16"/>
      <c r="AG248" s="16"/>
      <c r="AH248" s="16"/>
      <c r="AI248" s="16"/>
      <c r="AJ248" s="16"/>
      <c r="AK248" s="16"/>
      <c r="AL248" s="16"/>
      <c r="AM248" s="16"/>
      <c r="AN248" s="16"/>
      <c r="AO248" s="16"/>
      <c r="AP248" s="16"/>
      <c r="AQ248" s="16"/>
      <c r="AR248" s="16"/>
      <c r="AS248" s="16"/>
      <c r="AT248" s="16"/>
    </row>
    <row r="249" spans="2:46" x14ac:dyDescent="0.3">
      <c r="F249" s="25"/>
      <c r="G249" s="25"/>
      <c r="H249" s="25"/>
      <c r="I249" s="25"/>
      <c r="J249" s="24"/>
      <c r="K249" s="16"/>
      <c r="L249" s="16"/>
      <c r="M249" s="16"/>
      <c r="N249" s="16"/>
      <c r="O249" s="16"/>
      <c r="P249" s="16"/>
      <c r="Q249" s="16"/>
      <c r="R249" s="16"/>
      <c r="S249" s="16"/>
      <c r="T249" s="16"/>
      <c r="U249" s="16"/>
      <c r="V249" s="16"/>
      <c r="W249" s="16"/>
      <c r="X249" s="16"/>
      <c r="Y249" s="16"/>
      <c r="Z249" s="16"/>
      <c r="AA249" s="16"/>
      <c r="AB249" s="16"/>
      <c r="AC249" s="16"/>
      <c r="AD249" s="16"/>
      <c r="AE249" s="16"/>
      <c r="AF249" s="16"/>
      <c r="AG249" s="16"/>
      <c r="AH249" s="16"/>
      <c r="AI249" s="16"/>
      <c r="AJ249" s="16"/>
      <c r="AK249" s="16"/>
      <c r="AL249" s="16"/>
      <c r="AM249" s="16"/>
      <c r="AN249" s="16"/>
      <c r="AO249" s="16"/>
      <c r="AP249" s="16"/>
      <c r="AQ249" s="16"/>
      <c r="AR249" s="16"/>
      <c r="AS249" s="16"/>
      <c r="AT249" s="16"/>
    </row>
    <row r="250" spans="2:46" x14ac:dyDescent="0.3">
      <c r="F250" s="25"/>
      <c r="G250" s="25"/>
      <c r="H250" s="25"/>
      <c r="I250" s="25"/>
      <c r="J250" s="24"/>
      <c r="K250" s="16"/>
      <c r="L250" s="16"/>
      <c r="M250" s="16"/>
      <c r="N250" s="16"/>
      <c r="O250" s="16"/>
      <c r="P250" s="16"/>
      <c r="Q250" s="16"/>
      <c r="R250" s="16"/>
      <c r="S250" s="16"/>
      <c r="T250" s="16"/>
      <c r="U250" s="16"/>
      <c r="V250" s="16"/>
      <c r="W250" s="16"/>
      <c r="X250" s="16"/>
      <c r="Y250" s="16"/>
      <c r="Z250" s="16"/>
      <c r="AA250" s="16"/>
      <c r="AB250" s="16"/>
      <c r="AC250" s="16"/>
      <c r="AD250" s="16"/>
      <c r="AE250" s="16"/>
      <c r="AF250" s="16"/>
      <c r="AG250" s="16"/>
      <c r="AH250" s="16"/>
      <c r="AI250" s="16"/>
      <c r="AJ250" s="16"/>
      <c r="AK250" s="16"/>
      <c r="AL250" s="16"/>
      <c r="AM250" s="16"/>
      <c r="AN250" s="16"/>
      <c r="AO250" s="16"/>
      <c r="AP250" s="16"/>
      <c r="AQ250" s="16"/>
      <c r="AR250" s="16"/>
      <c r="AS250" s="16"/>
      <c r="AT250" s="16"/>
    </row>
    <row r="251" spans="2:46" x14ac:dyDescent="0.3">
      <c r="F251" s="25"/>
      <c r="G251" s="25"/>
      <c r="H251" s="25"/>
      <c r="I251" s="25"/>
      <c r="J251" s="24"/>
      <c r="K251" s="16"/>
      <c r="L251" s="16"/>
      <c r="M251" s="16"/>
      <c r="N251" s="16"/>
      <c r="O251" s="16"/>
      <c r="P251" s="16"/>
      <c r="Q251" s="16"/>
      <c r="R251" s="16"/>
      <c r="S251" s="16"/>
      <c r="T251" s="16"/>
      <c r="U251" s="16"/>
      <c r="V251" s="16"/>
      <c r="W251" s="16"/>
      <c r="X251" s="16"/>
      <c r="Y251" s="16"/>
      <c r="Z251" s="16"/>
      <c r="AA251" s="16"/>
      <c r="AB251" s="16"/>
      <c r="AC251" s="16"/>
      <c r="AD251" s="16"/>
      <c r="AE251" s="16"/>
      <c r="AF251" s="16"/>
      <c r="AG251" s="16"/>
      <c r="AH251" s="16"/>
      <c r="AI251" s="16"/>
      <c r="AJ251" s="16"/>
      <c r="AK251" s="16"/>
      <c r="AL251" s="16"/>
      <c r="AM251" s="16"/>
      <c r="AN251" s="16"/>
      <c r="AO251" s="16"/>
      <c r="AP251" s="16"/>
      <c r="AQ251" s="16"/>
      <c r="AR251" s="16"/>
      <c r="AS251" s="16"/>
      <c r="AT251" s="16"/>
    </row>
    <row r="252" spans="2:46" x14ac:dyDescent="0.3">
      <c r="F252" s="25"/>
      <c r="G252" s="25"/>
      <c r="H252" s="25"/>
      <c r="I252" s="25"/>
      <c r="J252" s="24"/>
      <c r="K252" s="16"/>
      <c r="L252" s="16"/>
      <c r="M252" s="16"/>
      <c r="N252" s="16"/>
      <c r="O252" s="16"/>
      <c r="P252" s="16"/>
      <c r="Q252" s="16"/>
      <c r="R252" s="16"/>
      <c r="S252" s="16"/>
      <c r="T252" s="16"/>
      <c r="U252" s="16"/>
      <c r="V252" s="16"/>
      <c r="W252" s="16"/>
      <c r="X252" s="16"/>
      <c r="Y252" s="16"/>
      <c r="Z252" s="16"/>
      <c r="AA252" s="16"/>
      <c r="AB252" s="16"/>
      <c r="AC252" s="16"/>
      <c r="AD252" s="16"/>
      <c r="AE252" s="16"/>
      <c r="AF252" s="16"/>
      <c r="AG252" s="16"/>
      <c r="AH252" s="16"/>
      <c r="AI252" s="16"/>
      <c r="AJ252" s="16"/>
      <c r="AK252" s="16"/>
      <c r="AL252" s="16"/>
      <c r="AM252" s="16"/>
      <c r="AN252" s="16"/>
      <c r="AO252" s="16"/>
      <c r="AP252" s="16"/>
      <c r="AQ252" s="16"/>
      <c r="AR252" s="16"/>
      <c r="AS252" s="16"/>
      <c r="AT252" s="16"/>
    </row>
    <row r="253" spans="2:46" x14ac:dyDescent="0.3">
      <c r="F253" s="25"/>
      <c r="G253" s="25"/>
      <c r="H253" s="25"/>
      <c r="I253" s="25"/>
      <c r="J253" s="24"/>
      <c r="K253" s="16"/>
      <c r="L253" s="16"/>
      <c r="M253" s="16"/>
      <c r="N253" s="16"/>
      <c r="O253" s="16"/>
      <c r="P253" s="16"/>
      <c r="Q253" s="16"/>
      <c r="R253" s="16"/>
      <c r="S253" s="16"/>
      <c r="T253" s="16"/>
      <c r="U253" s="16"/>
      <c r="V253" s="16"/>
      <c r="W253" s="16"/>
      <c r="X253" s="16"/>
      <c r="Y253" s="16"/>
      <c r="Z253" s="16"/>
      <c r="AA253" s="16"/>
      <c r="AB253" s="16"/>
      <c r="AC253" s="16"/>
      <c r="AD253" s="16"/>
      <c r="AE253" s="16"/>
      <c r="AF253" s="16"/>
      <c r="AG253" s="16"/>
      <c r="AH253" s="16"/>
      <c r="AI253" s="16"/>
      <c r="AJ253" s="16"/>
      <c r="AK253" s="16"/>
      <c r="AL253" s="16"/>
      <c r="AM253" s="16"/>
      <c r="AN253" s="16"/>
      <c r="AO253" s="16"/>
      <c r="AP253" s="16"/>
      <c r="AQ253" s="16"/>
      <c r="AR253" s="16"/>
      <c r="AS253" s="16"/>
      <c r="AT253" s="16"/>
    </row>
    <row r="254" spans="2:46" x14ac:dyDescent="0.3">
      <c r="F254" s="25"/>
      <c r="G254" s="25"/>
      <c r="H254" s="25"/>
      <c r="I254" s="25"/>
      <c r="J254" s="24"/>
      <c r="K254" s="16"/>
      <c r="L254" s="16"/>
      <c r="M254" s="16"/>
      <c r="N254" s="16"/>
      <c r="O254" s="16"/>
      <c r="P254" s="16"/>
      <c r="Q254" s="16"/>
      <c r="R254" s="16"/>
      <c r="S254" s="16"/>
      <c r="T254" s="16"/>
      <c r="U254" s="16"/>
      <c r="V254" s="16"/>
      <c r="W254" s="16"/>
      <c r="X254" s="16"/>
      <c r="Y254" s="16"/>
      <c r="Z254" s="16"/>
      <c r="AA254" s="16"/>
      <c r="AB254" s="16"/>
      <c r="AC254" s="16"/>
      <c r="AD254" s="16"/>
      <c r="AE254" s="16"/>
      <c r="AF254" s="16"/>
      <c r="AG254" s="16"/>
      <c r="AH254" s="16"/>
      <c r="AI254" s="16"/>
      <c r="AJ254" s="16"/>
      <c r="AK254" s="16"/>
      <c r="AL254" s="16"/>
      <c r="AM254" s="16"/>
      <c r="AN254" s="16"/>
      <c r="AO254" s="16"/>
      <c r="AP254" s="16"/>
      <c r="AQ254" s="16"/>
      <c r="AR254" s="16"/>
      <c r="AS254" s="16"/>
      <c r="AT254" s="16"/>
    </row>
    <row r="255" spans="2:46" x14ac:dyDescent="0.3">
      <c r="F255" s="25"/>
      <c r="G255" s="25"/>
      <c r="H255" s="25"/>
      <c r="I255" s="25"/>
      <c r="J255" s="24"/>
      <c r="K255" s="16"/>
      <c r="L255" s="16"/>
      <c r="M255" s="16"/>
      <c r="N255" s="16"/>
      <c r="O255" s="16"/>
      <c r="P255" s="16"/>
      <c r="Q255" s="16"/>
      <c r="R255" s="16"/>
      <c r="S255" s="16"/>
      <c r="T255" s="16"/>
      <c r="U255" s="16"/>
      <c r="V255" s="16"/>
      <c r="W255" s="16"/>
      <c r="X255" s="16"/>
      <c r="Y255" s="16"/>
      <c r="Z255" s="16"/>
      <c r="AA255" s="16"/>
      <c r="AB255" s="16"/>
      <c r="AC255" s="16"/>
      <c r="AD255" s="16"/>
      <c r="AE255" s="16"/>
      <c r="AF255" s="16"/>
      <c r="AG255" s="16"/>
      <c r="AH255" s="16"/>
      <c r="AI255" s="16"/>
      <c r="AJ255" s="16"/>
      <c r="AK255" s="16"/>
      <c r="AL255" s="16"/>
      <c r="AM255" s="16"/>
      <c r="AN255" s="16"/>
      <c r="AO255" s="16"/>
      <c r="AP255" s="16"/>
      <c r="AQ255" s="16"/>
      <c r="AR255" s="16"/>
      <c r="AS255" s="16"/>
      <c r="AT255" s="16"/>
    </row>
    <row r="256" spans="2:46" x14ac:dyDescent="0.3">
      <c r="F256" s="25"/>
      <c r="G256" s="25"/>
      <c r="H256" s="25"/>
      <c r="I256" s="25"/>
      <c r="J256" s="24"/>
      <c r="K256" s="16"/>
      <c r="L256" s="16"/>
      <c r="M256" s="16"/>
      <c r="N256" s="16"/>
      <c r="O256" s="16"/>
      <c r="P256" s="16"/>
      <c r="Q256" s="16"/>
      <c r="R256" s="16"/>
      <c r="S256" s="16"/>
      <c r="T256" s="16"/>
      <c r="U256" s="16"/>
      <c r="V256" s="16"/>
      <c r="W256" s="16"/>
      <c r="X256" s="16"/>
      <c r="Y256" s="16"/>
      <c r="Z256" s="16"/>
      <c r="AA256" s="16"/>
      <c r="AB256" s="16"/>
      <c r="AC256" s="16"/>
      <c r="AD256" s="16"/>
      <c r="AE256" s="16"/>
      <c r="AF256" s="16"/>
      <c r="AG256" s="16"/>
      <c r="AH256" s="16"/>
      <c r="AI256" s="16"/>
      <c r="AJ256" s="16"/>
      <c r="AK256" s="16"/>
      <c r="AL256" s="16"/>
      <c r="AM256" s="16"/>
      <c r="AN256" s="16"/>
      <c r="AO256" s="16"/>
      <c r="AP256" s="16"/>
      <c r="AQ256" s="16"/>
      <c r="AR256" s="16"/>
      <c r="AS256" s="16"/>
      <c r="AT256" s="16"/>
    </row>
    <row r="257" spans="6:46" x14ac:dyDescent="0.3">
      <c r="F257" s="25"/>
      <c r="G257" s="25"/>
      <c r="H257" s="25"/>
      <c r="I257" s="25"/>
      <c r="J257" s="24"/>
      <c r="K257" s="16"/>
      <c r="L257" s="16"/>
      <c r="M257" s="16"/>
      <c r="N257" s="16"/>
      <c r="O257" s="16"/>
      <c r="P257" s="16"/>
      <c r="Q257" s="16"/>
      <c r="R257" s="16"/>
      <c r="S257" s="16"/>
      <c r="T257" s="16"/>
      <c r="U257" s="16"/>
      <c r="V257" s="16"/>
      <c r="W257" s="16"/>
      <c r="X257" s="16"/>
      <c r="Y257" s="16"/>
      <c r="Z257" s="16"/>
      <c r="AA257" s="16"/>
      <c r="AB257" s="16"/>
      <c r="AC257" s="16"/>
      <c r="AD257" s="16"/>
      <c r="AE257" s="16"/>
      <c r="AF257" s="16"/>
      <c r="AG257" s="16"/>
      <c r="AH257" s="16"/>
      <c r="AI257" s="16"/>
      <c r="AJ257" s="16"/>
      <c r="AK257" s="16"/>
      <c r="AL257" s="16"/>
      <c r="AM257" s="16"/>
      <c r="AN257" s="16"/>
      <c r="AO257" s="16"/>
      <c r="AP257" s="16"/>
      <c r="AQ257" s="16"/>
      <c r="AR257" s="16"/>
      <c r="AS257" s="16"/>
      <c r="AT257" s="16"/>
    </row>
    <row r="258" spans="6:46" x14ac:dyDescent="0.3">
      <c r="F258" s="25"/>
      <c r="G258" s="25"/>
      <c r="H258" s="25"/>
      <c r="I258" s="25"/>
      <c r="J258" s="24"/>
      <c r="K258" s="16"/>
      <c r="L258" s="16"/>
      <c r="M258" s="16"/>
      <c r="N258" s="16"/>
      <c r="O258" s="16"/>
      <c r="P258" s="16"/>
      <c r="Q258" s="16"/>
      <c r="R258" s="16"/>
      <c r="S258" s="16"/>
      <c r="T258" s="16"/>
      <c r="U258" s="16"/>
      <c r="V258" s="16"/>
      <c r="W258" s="16"/>
      <c r="X258" s="16"/>
      <c r="Y258" s="16"/>
      <c r="Z258" s="16"/>
      <c r="AA258" s="16"/>
      <c r="AB258" s="16"/>
      <c r="AC258" s="16"/>
      <c r="AD258" s="16"/>
      <c r="AE258" s="16"/>
      <c r="AF258" s="16"/>
      <c r="AG258" s="16"/>
      <c r="AH258" s="16"/>
      <c r="AI258" s="16"/>
      <c r="AJ258" s="16"/>
      <c r="AK258" s="16"/>
      <c r="AL258" s="16"/>
      <c r="AM258" s="16"/>
      <c r="AN258" s="16"/>
      <c r="AO258" s="16"/>
      <c r="AP258" s="16"/>
      <c r="AQ258" s="16"/>
      <c r="AR258" s="16"/>
      <c r="AS258" s="16"/>
      <c r="AT258" s="16"/>
    </row>
    <row r="259" spans="6:46" x14ac:dyDescent="0.3">
      <c r="F259" s="25"/>
      <c r="G259" s="25"/>
      <c r="H259" s="25"/>
      <c r="I259" s="25"/>
      <c r="J259" s="24"/>
      <c r="K259" s="16"/>
      <c r="L259" s="16"/>
      <c r="M259" s="16"/>
      <c r="N259" s="16"/>
      <c r="O259" s="16"/>
      <c r="P259" s="16"/>
      <c r="Q259" s="16"/>
      <c r="R259" s="16"/>
      <c r="S259" s="16"/>
      <c r="T259" s="16"/>
      <c r="U259" s="16"/>
      <c r="V259" s="16"/>
      <c r="W259" s="16"/>
      <c r="X259" s="16"/>
      <c r="Y259" s="16"/>
      <c r="Z259" s="16"/>
      <c r="AA259" s="16"/>
      <c r="AB259" s="16"/>
      <c r="AC259" s="16"/>
      <c r="AD259" s="16"/>
      <c r="AE259" s="16"/>
      <c r="AF259" s="16"/>
      <c r="AG259" s="16"/>
      <c r="AH259" s="16"/>
      <c r="AI259" s="16"/>
      <c r="AJ259" s="16"/>
      <c r="AK259" s="16"/>
      <c r="AL259" s="16"/>
      <c r="AM259" s="16"/>
      <c r="AN259" s="16"/>
      <c r="AO259" s="16"/>
      <c r="AP259" s="16"/>
      <c r="AQ259" s="16"/>
      <c r="AR259" s="16"/>
      <c r="AS259" s="16"/>
      <c r="AT259" s="16"/>
    </row>
    <row r="260" spans="6:46" x14ac:dyDescent="0.3">
      <c r="F260" s="25"/>
      <c r="G260" s="25"/>
      <c r="H260" s="25"/>
      <c r="I260" s="25"/>
      <c r="J260" s="24"/>
      <c r="K260" s="16"/>
      <c r="L260" s="16"/>
      <c r="M260" s="16"/>
      <c r="N260" s="16"/>
      <c r="O260" s="16"/>
      <c r="P260" s="16"/>
      <c r="Q260" s="16"/>
      <c r="R260" s="16"/>
      <c r="S260" s="16"/>
      <c r="T260" s="16"/>
      <c r="U260" s="16"/>
      <c r="V260" s="16"/>
      <c r="W260" s="16"/>
      <c r="X260" s="16"/>
      <c r="Y260" s="16"/>
      <c r="Z260" s="16"/>
      <c r="AA260" s="16"/>
      <c r="AB260" s="16"/>
      <c r="AC260" s="16"/>
      <c r="AD260" s="16"/>
      <c r="AE260" s="16"/>
      <c r="AF260" s="16"/>
      <c r="AG260" s="16"/>
      <c r="AH260" s="16"/>
      <c r="AI260" s="16"/>
      <c r="AJ260" s="16"/>
      <c r="AK260" s="16"/>
      <c r="AL260" s="16"/>
      <c r="AM260" s="16"/>
      <c r="AN260" s="16"/>
      <c r="AO260" s="16"/>
      <c r="AP260" s="16"/>
      <c r="AQ260" s="16"/>
      <c r="AR260" s="16"/>
      <c r="AS260" s="16"/>
      <c r="AT260" s="16"/>
    </row>
    <row r="261" spans="6:46" x14ac:dyDescent="0.3">
      <c r="F261" s="25"/>
      <c r="G261" s="25"/>
      <c r="H261" s="25"/>
      <c r="I261" s="25"/>
      <c r="J261" s="24"/>
      <c r="K261" s="16"/>
      <c r="L261" s="16"/>
      <c r="M261" s="16"/>
      <c r="N261" s="16"/>
      <c r="O261" s="16"/>
      <c r="P261" s="16"/>
      <c r="Q261" s="16"/>
      <c r="R261" s="16"/>
      <c r="S261" s="16"/>
      <c r="T261" s="16"/>
      <c r="U261" s="16"/>
      <c r="V261" s="16"/>
      <c r="W261" s="16"/>
      <c r="X261" s="16"/>
      <c r="Y261" s="16"/>
      <c r="Z261" s="16"/>
      <c r="AA261" s="16"/>
      <c r="AB261" s="16"/>
      <c r="AC261" s="16"/>
      <c r="AD261" s="16"/>
      <c r="AE261" s="16"/>
      <c r="AF261" s="16"/>
      <c r="AG261" s="16"/>
      <c r="AH261" s="16"/>
      <c r="AI261" s="16"/>
      <c r="AJ261" s="16"/>
      <c r="AK261" s="16"/>
      <c r="AL261" s="16"/>
      <c r="AM261" s="16"/>
      <c r="AN261" s="16"/>
      <c r="AO261" s="16"/>
      <c r="AP261" s="16"/>
      <c r="AQ261" s="16"/>
      <c r="AR261" s="16"/>
      <c r="AS261" s="16"/>
      <c r="AT261" s="16"/>
    </row>
    <row r="262" spans="6:46" x14ac:dyDescent="0.3">
      <c r="F262" s="25"/>
      <c r="G262" s="25"/>
      <c r="H262" s="25"/>
      <c r="I262" s="25"/>
      <c r="J262" s="24"/>
      <c r="K262" s="16"/>
      <c r="L262" s="16"/>
      <c r="M262" s="16"/>
      <c r="N262" s="16"/>
      <c r="O262" s="16"/>
      <c r="P262" s="16"/>
      <c r="Q262" s="16"/>
      <c r="R262" s="16"/>
      <c r="S262" s="16"/>
      <c r="T262" s="16"/>
      <c r="U262" s="16"/>
      <c r="V262" s="16"/>
      <c r="W262" s="16"/>
      <c r="X262" s="16"/>
      <c r="Y262" s="16"/>
      <c r="Z262" s="16"/>
      <c r="AA262" s="16"/>
      <c r="AB262" s="16"/>
      <c r="AC262" s="16"/>
      <c r="AD262" s="16"/>
      <c r="AE262" s="16"/>
      <c r="AF262" s="16"/>
      <c r="AG262" s="16"/>
      <c r="AH262" s="16"/>
      <c r="AI262" s="16"/>
      <c r="AJ262" s="16"/>
      <c r="AK262" s="16"/>
      <c r="AL262" s="16"/>
      <c r="AM262" s="16"/>
      <c r="AN262" s="16"/>
      <c r="AO262" s="16"/>
      <c r="AP262" s="16"/>
      <c r="AQ262" s="16"/>
      <c r="AR262" s="16"/>
      <c r="AS262" s="16"/>
      <c r="AT262" s="16"/>
    </row>
    <row r="263" spans="6:46" x14ac:dyDescent="0.3">
      <c r="F263" s="25"/>
      <c r="G263" s="25"/>
      <c r="H263" s="25"/>
      <c r="I263" s="25"/>
      <c r="J263" s="24"/>
      <c r="K263" s="16"/>
      <c r="L263" s="16"/>
      <c r="M263" s="16"/>
      <c r="N263" s="16"/>
      <c r="O263" s="16"/>
      <c r="P263" s="16"/>
      <c r="Q263" s="16"/>
      <c r="R263" s="16"/>
      <c r="S263" s="16"/>
      <c r="T263" s="16"/>
      <c r="U263" s="16"/>
      <c r="V263" s="16"/>
      <c r="W263" s="16"/>
      <c r="X263" s="16"/>
      <c r="Y263" s="16"/>
      <c r="Z263" s="16"/>
      <c r="AA263" s="16"/>
      <c r="AB263" s="16"/>
      <c r="AC263" s="16"/>
      <c r="AD263" s="16"/>
      <c r="AE263" s="16"/>
      <c r="AF263" s="16"/>
      <c r="AG263" s="16"/>
      <c r="AH263" s="16"/>
      <c r="AI263" s="16"/>
      <c r="AJ263" s="16"/>
      <c r="AK263" s="16"/>
      <c r="AL263" s="16"/>
      <c r="AM263" s="16"/>
      <c r="AN263" s="16"/>
      <c r="AO263" s="16"/>
      <c r="AP263" s="16"/>
      <c r="AQ263" s="16"/>
      <c r="AR263" s="16"/>
      <c r="AS263" s="16"/>
      <c r="AT263" s="16"/>
    </row>
    <row r="264" spans="6:46" x14ac:dyDescent="0.3">
      <c r="F264" s="25"/>
      <c r="G264" s="25"/>
      <c r="H264" s="25"/>
      <c r="I264" s="25"/>
      <c r="J264" s="24"/>
      <c r="K264" s="16"/>
      <c r="L264" s="16"/>
      <c r="M264" s="16"/>
      <c r="N264" s="16"/>
      <c r="O264" s="16"/>
      <c r="P264" s="16"/>
      <c r="Q264" s="16"/>
      <c r="R264" s="16"/>
      <c r="S264" s="16"/>
      <c r="T264" s="16"/>
      <c r="U264" s="16"/>
      <c r="V264" s="16"/>
      <c r="W264" s="16"/>
      <c r="X264" s="16"/>
      <c r="Y264" s="16"/>
      <c r="Z264" s="16"/>
      <c r="AA264" s="16"/>
      <c r="AB264" s="16"/>
      <c r="AC264" s="16"/>
      <c r="AD264" s="16"/>
      <c r="AE264" s="16"/>
      <c r="AF264" s="16"/>
      <c r="AG264" s="16"/>
      <c r="AH264" s="16"/>
      <c r="AI264" s="16"/>
      <c r="AJ264" s="16"/>
      <c r="AK264" s="16"/>
      <c r="AL264" s="16"/>
      <c r="AM264" s="16"/>
      <c r="AN264" s="16"/>
      <c r="AO264" s="16"/>
      <c r="AP264" s="16"/>
      <c r="AQ264" s="16"/>
      <c r="AR264" s="16"/>
      <c r="AS264" s="16"/>
      <c r="AT264" s="16"/>
    </row>
    <row r="265" spans="6:46" x14ac:dyDescent="0.3">
      <c r="F265" s="25"/>
      <c r="G265" s="25"/>
      <c r="H265" s="25"/>
      <c r="I265" s="25"/>
      <c r="J265" s="24"/>
      <c r="K265" s="16"/>
      <c r="L265" s="16"/>
      <c r="M265" s="16"/>
      <c r="N265" s="16"/>
      <c r="O265" s="16"/>
      <c r="P265" s="16"/>
      <c r="Q265" s="16"/>
      <c r="R265" s="16"/>
      <c r="S265" s="16"/>
      <c r="T265" s="16"/>
      <c r="U265" s="16"/>
      <c r="V265" s="16"/>
      <c r="W265" s="16"/>
      <c r="X265" s="16"/>
      <c r="Y265" s="16"/>
      <c r="Z265" s="16"/>
      <c r="AA265" s="16"/>
      <c r="AB265" s="16"/>
      <c r="AC265" s="16"/>
      <c r="AD265" s="16"/>
      <c r="AE265" s="16"/>
      <c r="AF265" s="16"/>
      <c r="AG265" s="16"/>
      <c r="AH265" s="16"/>
      <c r="AI265" s="16"/>
      <c r="AJ265" s="16"/>
      <c r="AK265" s="16"/>
      <c r="AL265" s="16"/>
      <c r="AM265" s="16"/>
      <c r="AN265" s="16"/>
      <c r="AO265" s="16"/>
      <c r="AP265" s="16"/>
      <c r="AQ265" s="16"/>
      <c r="AR265" s="16"/>
      <c r="AS265" s="16"/>
      <c r="AT265" s="16"/>
    </row>
    <row r="266" spans="6:46" x14ac:dyDescent="0.3">
      <c r="F266" s="25"/>
      <c r="G266" s="25"/>
      <c r="H266" s="25"/>
      <c r="I266" s="25"/>
      <c r="J266" s="24"/>
      <c r="K266" s="16"/>
      <c r="L266" s="16"/>
      <c r="M266" s="16"/>
      <c r="N266" s="16"/>
      <c r="O266" s="16"/>
      <c r="P266" s="16"/>
      <c r="Q266" s="16"/>
      <c r="R266" s="16"/>
      <c r="S266" s="16"/>
      <c r="T266" s="16"/>
      <c r="U266" s="16"/>
      <c r="V266" s="16"/>
      <c r="W266" s="16"/>
      <c r="X266" s="16"/>
      <c r="Y266" s="16"/>
      <c r="Z266" s="16"/>
      <c r="AA266" s="16"/>
      <c r="AB266" s="16"/>
      <c r="AC266" s="16"/>
      <c r="AD266" s="16"/>
      <c r="AE266" s="16"/>
      <c r="AF266" s="16"/>
      <c r="AG266" s="16"/>
      <c r="AH266" s="16"/>
      <c r="AI266" s="16"/>
      <c r="AJ266" s="16"/>
      <c r="AK266" s="16"/>
      <c r="AL266" s="16"/>
      <c r="AM266" s="16"/>
      <c r="AN266" s="16"/>
      <c r="AO266" s="16"/>
      <c r="AP266" s="16"/>
      <c r="AQ266" s="16"/>
      <c r="AR266" s="16"/>
      <c r="AS266" s="16"/>
      <c r="AT266" s="16"/>
    </row>
    <row r="267" spans="6:46" x14ac:dyDescent="0.3">
      <c r="F267" s="25"/>
      <c r="G267" s="25"/>
      <c r="H267" s="25"/>
      <c r="I267" s="25"/>
      <c r="J267" s="24"/>
      <c r="K267" s="16"/>
      <c r="L267" s="16"/>
      <c r="M267" s="16"/>
      <c r="N267" s="16"/>
      <c r="O267" s="16"/>
      <c r="P267" s="16"/>
      <c r="Q267" s="16"/>
      <c r="R267" s="16"/>
      <c r="S267" s="16"/>
      <c r="T267" s="16"/>
      <c r="U267" s="16"/>
      <c r="V267" s="16"/>
      <c r="W267" s="16"/>
      <c r="X267" s="16"/>
      <c r="Y267" s="16"/>
      <c r="Z267" s="16"/>
      <c r="AA267" s="16"/>
      <c r="AB267" s="16"/>
      <c r="AC267" s="16"/>
      <c r="AD267" s="16"/>
      <c r="AE267" s="16"/>
      <c r="AF267" s="16"/>
      <c r="AG267" s="16"/>
      <c r="AH267" s="16"/>
      <c r="AI267" s="16"/>
      <c r="AJ267" s="16"/>
      <c r="AK267" s="16"/>
      <c r="AL267" s="16"/>
      <c r="AM267" s="16"/>
      <c r="AN267" s="16"/>
      <c r="AO267" s="16"/>
      <c r="AP267" s="16"/>
      <c r="AQ267" s="16"/>
      <c r="AR267" s="16"/>
      <c r="AS267" s="16"/>
      <c r="AT267" s="16"/>
    </row>
    <row r="268" spans="6:46" x14ac:dyDescent="0.3">
      <c r="F268" s="25"/>
      <c r="G268" s="25"/>
      <c r="H268" s="25"/>
      <c r="I268" s="25"/>
      <c r="J268" s="24"/>
      <c r="K268" s="16"/>
      <c r="L268" s="16"/>
      <c r="M268" s="16"/>
      <c r="N268" s="16"/>
      <c r="O268" s="16"/>
      <c r="P268" s="16"/>
      <c r="Q268" s="16"/>
      <c r="R268" s="16"/>
      <c r="S268" s="16"/>
      <c r="T268" s="16"/>
      <c r="U268" s="16"/>
      <c r="V268" s="16"/>
      <c r="W268" s="16"/>
      <c r="X268" s="16"/>
      <c r="Y268" s="16"/>
      <c r="Z268" s="16"/>
      <c r="AA268" s="16"/>
      <c r="AB268" s="16"/>
      <c r="AC268" s="16"/>
      <c r="AD268" s="16"/>
      <c r="AE268" s="16"/>
      <c r="AF268" s="16"/>
      <c r="AG268" s="16"/>
      <c r="AH268" s="16"/>
      <c r="AI268" s="16"/>
      <c r="AJ268" s="16"/>
      <c r="AK268" s="16"/>
      <c r="AL268" s="16"/>
      <c r="AM268" s="16"/>
      <c r="AN268" s="16"/>
      <c r="AO268" s="16"/>
      <c r="AP268" s="16"/>
      <c r="AQ268" s="16"/>
      <c r="AR268" s="16"/>
      <c r="AS268" s="16"/>
      <c r="AT268" s="16"/>
    </row>
    <row r="269" spans="6:46" x14ac:dyDescent="0.3">
      <c r="F269" s="25"/>
      <c r="G269" s="25"/>
      <c r="H269" s="25"/>
      <c r="I269" s="25"/>
      <c r="J269" s="24"/>
      <c r="K269" s="16"/>
      <c r="L269" s="16"/>
      <c r="M269" s="16"/>
      <c r="N269" s="16"/>
      <c r="O269" s="16"/>
      <c r="P269" s="16"/>
      <c r="Q269" s="16"/>
      <c r="R269" s="16"/>
      <c r="S269" s="16"/>
      <c r="T269" s="16"/>
      <c r="U269" s="16"/>
      <c r="V269" s="16"/>
      <c r="W269" s="16"/>
      <c r="X269" s="16"/>
      <c r="Y269" s="16"/>
      <c r="Z269" s="16"/>
      <c r="AA269" s="16"/>
      <c r="AB269" s="16"/>
      <c r="AC269" s="16"/>
      <c r="AD269" s="16"/>
      <c r="AE269" s="16"/>
      <c r="AF269" s="16"/>
      <c r="AG269" s="16"/>
      <c r="AH269" s="16"/>
      <c r="AI269" s="16"/>
      <c r="AJ269" s="16"/>
      <c r="AK269" s="16"/>
      <c r="AL269" s="16"/>
      <c r="AM269" s="16"/>
      <c r="AN269" s="16"/>
      <c r="AO269" s="16"/>
      <c r="AP269" s="16"/>
      <c r="AQ269" s="16"/>
      <c r="AR269" s="16"/>
      <c r="AS269" s="16"/>
      <c r="AT269" s="16"/>
    </row>
    <row r="270" spans="6:46" x14ac:dyDescent="0.3">
      <c r="F270" s="25"/>
      <c r="G270" s="25"/>
      <c r="H270" s="25"/>
      <c r="I270" s="25"/>
      <c r="J270" s="24"/>
      <c r="K270" s="16"/>
      <c r="L270" s="16"/>
      <c r="M270" s="16"/>
      <c r="N270" s="16"/>
      <c r="O270" s="16"/>
      <c r="P270" s="16"/>
      <c r="Q270" s="16"/>
      <c r="R270" s="16"/>
      <c r="S270" s="16"/>
      <c r="T270" s="16"/>
      <c r="U270" s="16"/>
      <c r="V270" s="16"/>
      <c r="W270" s="16"/>
      <c r="X270" s="16"/>
      <c r="Y270" s="16"/>
      <c r="Z270" s="16"/>
      <c r="AA270" s="16"/>
      <c r="AB270" s="16"/>
      <c r="AC270" s="16"/>
      <c r="AD270" s="16"/>
      <c r="AE270" s="16"/>
      <c r="AF270" s="16"/>
      <c r="AG270" s="16"/>
      <c r="AH270" s="16"/>
      <c r="AI270" s="16"/>
      <c r="AJ270" s="16"/>
      <c r="AK270" s="16"/>
      <c r="AL270" s="16"/>
      <c r="AM270" s="16"/>
      <c r="AN270" s="16"/>
      <c r="AO270" s="16"/>
      <c r="AP270" s="16"/>
      <c r="AQ270" s="16"/>
      <c r="AR270" s="16"/>
      <c r="AS270" s="16"/>
      <c r="AT270" s="16"/>
    </row>
    <row r="271" spans="6:46" x14ac:dyDescent="0.3">
      <c r="F271" s="25"/>
      <c r="G271" s="25"/>
      <c r="H271" s="25"/>
      <c r="I271" s="25"/>
      <c r="J271" s="24"/>
      <c r="K271" s="16"/>
      <c r="L271" s="16"/>
      <c r="M271" s="16"/>
      <c r="N271" s="16"/>
      <c r="O271" s="16"/>
      <c r="P271" s="16"/>
      <c r="Q271" s="16"/>
      <c r="R271" s="16"/>
      <c r="S271" s="16"/>
      <c r="T271" s="16"/>
      <c r="U271" s="16"/>
      <c r="V271" s="16"/>
      <c r="W271" s="16"/>
      <c r="X271" s="16"/>
      <c r="Y271" s="16"/>
      <c r="Z271" s="16"/>
      <c r="AA271" s="16"/>
      <c r="AB271" s="16"/>
      <c r="AC271" s="16"/>
      <c r="AD271" s="16"/>
      <c r="AE271" s="16"/>
      <c r="AF271" s="16"/>
      <c r="AG271" s="16"/>
      <c r="AH271" s="16"/>
      <c r="AI271" s="16"/>
      <c r="AJ271" s="16"/>
      <c r="AK271" s="16"/>
      <c r="AL271" s="16"/>
      <c r="AM271" s="16"/>
      <c r="AN271" s="16"/>
      <c r="AO271" s="16"/>
      <c r="AP271" s="16"/>
      <c r="AQ271" s="16"/>
      <c r="AR271" s="16"/>
      <c r="AS271" s="16"/>
      <c r="AT271" s="16"/>
    </row>
    <row r="272" spans="6:46" x14ac:dyDescent="0.3">
      <c r="F272" s="25"/>
      <c r="G272" s="25"/>
      <c r="H272" s="25"/>
      <c r="I272" s="25"/>
      <c r="J272" s="24"/>
      <c r="K272" s="16"/>
      <c r="L272" s="16"/>
      <c r="M272" s="16"/>
      <c r="N272" s="16"/>
      <c r="O272" s="16"/>
      <c r="P272" s="16"/>
      <c r="Q272" s="16"/>
      <c r="R272" s="16"/>
      <c r="S272" s="16"/>
      <c r="T272" s="16"/>
      <c r="U272" s="16"/>
      <c r="V272" s="16"/>
      <c r="W272" s="16"/>
      <c r="X272" s="16"/>
      <c r="Y272" s="16"/>
      <c r="Z272" s="16"/>
      <c r="AA272" s="16"/>
      <c r="AB272" s="16"/>
      <c r="AC272" s="16"/>
      <c r="AD272" s="16"/>
      <c r="AE272" s="16"/>
      <c r="AF272" s="16"/>
      <c r="AG272" s="16"/>
      <c r="AH272" s="16"/>
      <c r="AI272" s="16"/>
      <c r="AJ272" s="16"/>
      <c r="AK272" s="16"/>
      <c r="AL272" s="16"/>
      <c r="AM272" s="16"/>
      <c r="AN272" s="16"/>
      <c r="AO272" s="16"/>
      <c r="AP272" s="16"/>
      <c r="AQ272" s="16"/>
      <c r="AR272" s="16"/>
      <c r="AS272" s="16"/>
      <c r="AT272" s="16"/>
    </row>
    <row r="273" spans="6:46" x14ac:dyDescent="0.3">
      <c r="F273" s="25"/>
      <c r="G273" s="25"/>
      <c r="H273" s="25"/>
      <c r="I273" s="25"/>
      <c r="J273" s="24"/>
      <c r="K273" s="16"/>
      <c r="L273" s="16"/>
      <c r="M273" s="16"/>
      <c r="N273" s="16"/>
      <c r="O273" s="16"/>
      <c r="P273" s="16"/>
      <c r="Q273" s="16"/>
      <c r="R273" s="16"/>
      <c r="S273" s="16"/>
      <c r="T273" s="16"/>
      <c r="U273" s="16"/>
      <c r="V273" s="16"/>
      <c r="W273" s="16"/>
      <c r="X273" s="16"/>
      <c r="Y273" s="16"/>
      <c r="Z273" s="16"/>
      <c r="AA273" s="16"/>
      <c r="AB273" s="16"/>
      <c r="AC273" s="16"/>
      <c r="AD273" s="16"/>
      <c r="AE273" s="16"/>
      <c r="AF273" s="16"/>
      <c r="AG273" s="16"/>
      <c r="AH273" s="16"/>
      <c r="AI273" s="16"/>
      <c r="AJ273" s="16"/>
      <c r="AK273" s="16"/>
      <c r="AL273" s="16"/>
      <c r="AM273" s="16"/>
      <c r="AN273" s="16"/>
      <c r="AO273" s="16"/>
      <c r="AP273" s="16"/>
      <c r="AQ273" s="16"/>
      <c r="AR273" s="16"/>
      <c r="AS273" s="16"/>
      <c r="AT273" s="16"/>
    </row>
    <row r="274" spans="6:46" x14ac:dyDescent="0.3">
      <c r="F274" s="25"/>
      <c r="G274" s="25"/>
      <c r="H274" s="25"/>
      <c r="I274" s="25"/>
      <c r="J274" s="24"/>
      <c r="K274" s="16"/>
      <c r="L274" s="16"/>
      <c r="M274" s="16"/>
      <c r="N274" s="16"/>
      <c r="O274" s="16"/>
      <c r="P274" s="16"/>
      <c r="Q274" s="16"/>
      <c r="R274" s="16"/>
      <c r="S274" s="16"/>
      <c r="T274" s="16"/>
      <c r="U274" s="16"/>
      <c r="V274" s="16"/>
      <c r="W274" s="16"/>
      <c r="X274" s="16"/>
      <c r="Y274" s="16"/>
      <c r="Z274" s="16"/>
      <c r="AA274" s="16"/>
      <c r="AB274" s="16"/>
      <c r="AC274" s="16"/>
      <c r="AD274" s="16"/>
      <c r="AE274" s="16"/>
      <c r="AF274" s="16"/>
      <c r="AG274" s="16"/>
      <c r="AH274" s="16"/>
      <c r="AI274" s="16"/>
      <c r="AJ274" s="16"/>
      <c r="AK274" s="16"/>
      <c r="AL274" s="16"/>
      <c r="AM274" s="16"/>
      <c r="AN274" s="16"/>
      <c r="AO274" s="16"/>
      <c r="AP274" s="16"/>
      <c r="AQ274" s="16"/>
      <c r="AR274" s="16"/>
      <c r="AS274" s="16"/>
      <c r="AT274" s="16"/>
    </row>
    <row r="275" spans="6:46" x14ac:dyDescent="0.3">
      <c r="F275" s="25"/>
      <c r="G275" s="25"/>
      <c r="H275" s="25"/>
      <c r="I275" s="25"/>
      <c r="J275" s="24"/>
      <c r="K275" s="16"/>
      <c r="L275" s="16"/>
      <c r="M275" s="16"/>
      <c r="N275" s="16"/>
      <c r="O275" s="16"/>
      <c r="P275" s="16"/>
      <c r="Q275" s="16"/>
      <c r="R275" s="16"/>
      <c r="S275" s="16"/>
      <c r="T275" s="16"/>
      <c r="U275" s="16"/>
      <c r="V275" s="16"/>
      <c r="W275" s="16"/>
      <c r="X275" s="16"/>
      <c r="Y275" s="16"/>
      <c r="Z275" s="16"/>
      <c r="AA275" s="16"/>
      <c r="AB275" s="16"/>
      <c r="AC275" s="16"/>
      <c r="AD275" s="16"/>
      <c r="AE275" s="16"/>
      <c r="AF275" s="16"/>
      <c r="AG275" s="16"/>
      <c r="AH275" s="16"/>
      <c r="AI275" s="16"/>
      <c r="AJ275" s="16"/>
      <c r="AK275" s="16"/>
      <c r="AL275" s="16"/>
      <c r="AM275" s="16"/>
      <c r="AN275" s="16"/>
      <c r="AO275" s="16"/>
      <c r="AP275" s="16"/>
      <c r="AQ275" s="16"/>
      <c r="AR275" s="16"/>
      <c r="AS275" s="16"/>
      <c r="AT275" s="16"/>
    </row>
    <row r="276" spans="6:46" x14ac:dyDescent="0.3">
      <c r="F276" s="25"/>
      <c r="G276" s="25"/>
      <c r="H276" s="25"/>
      <c r="I276" s="25"/>
      <c r="J276" s="24"/>
      <c r="K276" s="16"/>
      <c r="L276" s="16"/>
      <c r="M276" s="16"/>
      <c r="N276" s="16"/>
      <c r="O276" s="16"/>
      <c r="P276" s="16"/>
      <c r="Q276" s="16"/>
      <c r="R276" s="16"/>
      <c r="S276" s="16"/>
      <c r="T276" s="16"/>
      <c r="U276" s="16"/>
      <c r="V276" s="16"/>
      <c r="W276" s="16"/>
      <c r="X276" s="16"/>
      <c r="Y276" s="16"/>
      <c r="Z276" s="16"/>
      <c r="AA276" s="16"/>
      <c r="AB276" s="16"/>
      <c r="AC276" s="16"/>
      <c r="AD276" s="16"/>
      <c r="AE276" s="16"/>
      <c r="AF276" s="16"/>
      <c r="AG276" s="16"/>
      <c r="AH276" s="16"/>
      <c r="AI276" s="16"/>
      <c r="AJ276" s="16"/>
      <c r="AK276" s="16"/>
      <c r="AL276" s="16"/>
      <c r="AM276" s="16"/>
      <c r="AN276" s="16"/>
      <c r="AO276" s="16"/>
      <c r="AP276" s="16"/>
      <c r="AQ276" s="16"/>
      <c r="AR276" s="16"/>
      <c r="AS276" s="16"/>
      <c r="AT276" s="16"/>
    </row>
    <row r="277" spans="6:46" x14ac:dyDescent="0.3">
      <c r="F277" s="25"/>
      <c r="G277" s="25"/>
      <c r="H277" s="25"/>
      <c r="I277" s="25"/>
      <c r="J277" s="24"/>
      <c r="K277" s="16"/>
      <c r="L277" s="16"/>
      <c r="M277" s="16"/>
      <c r="N277" s="16"/>
      <c r="O277" s="16"/>
      <c r="P277" s="16"/>
      <c r="Q277" s="16"/>
      <c r="R277" s="16"/>
      <c r="S277" s="16"/>
      <c r="T277" s="16"/>
      <c r="U277" s="16"/>
      <c r="V277" s="16"/>
      <c r="W277" s="16"/>
      <c r="X277" s="16"/>
      <c r="Y277" s="16"/>
      <c r="Z277" s="16"/>
      <c r="AA277" s="16"/>
      <c r="AB277" s="16"/>
      <c r="AC277" s="16"/>
      <c r="AD277" s="16"/>
      <c r="AE277" s="16"/>
      <c r="AF277" s="16"/>
      <c r="AG277" s="16"/>
      <c r="AH277" s="16"/>
      <c r="AI277" s="16"/>
      <c r="AJ277" s="16"/>
      <c r="AK277" s="16"/>
      <c r="AL277" s="16"/>
      <c r="AM277" s="16"/>
      <c r="AN277" s="16"/>
      <c r="AO277" s="16"/>
      <c r="AP277" s="16"/>
      <c r="AQ277" s="16"/>
      <c r="AR277" s="16"/>
      <c r="AS277" s="16"/>
      <c r="AT277" s="16"/>
    </row>
    <row r="278" spans="6:46" x14ac:dyDescent="0.3">
      <c r="F278" s="25"/>
      <c r="G278" s="25"/>
      <c r="H278" s="25"/>
      <c r="I278" s="25"/>
      <c r="J278" s="24"/>
      <c r="K278" s="16"/>
      <c r="L278" s="16"/>
      <c r="M278" s="16"/>
      <c r="N278" s="16"/>
      <c r="O278" s="16"/>
      <c r="P278" s="16"/>
      <c r="Q278" s="16"/>
      <c r="R278" s="16"/>
      <c r="S278" s="16"/>
      <c r="T278" s="16"/>
      <c r="U278" s="16"/>
      <c r="V278" s="16"/>
      <c r="W278" s="16"/>
      <c r="X278" s="16"/>
      <c r="Y278" s="16"/>
      <c r="Z278" s="16"/>
      <c r="AA278" s="16"/>
      <c r="AB278" s="16"/>
      <c r="AC278" s="16"/>
      <c r="AD278" s="16"/>
      <c r="AE278" s="16"/>
      <c r="AF278" s="16"/>
      <c r="AG278" s="16"/>
      <c r="AH278" s="16"/>
      <c r="AI278" s="16"/>
      <c r="AJ278" s="16"/>
      <c r="AK278" s="16"/>
      <c r="AL278" s="16"/>
      <c r="AM278" s="16"/>
      <c r="AN278" s="16"/>
      <c r="AO278" s="16"/>
      <c r="AP278" s="16"/>
      <c r="AQ278" s="16"/>
      <c r="AR278" s="16"/>
      <c r="AS278" s="16"/>
      <c r="AT278" s="16"/>
    </row>
    <row r="279" spans="6:46" x14ac:dyDescent="0.3">
      <c r="F279" s="25"/>
      <c r="G279" s="25"/>
      <c r="H279" s="25"/>
      <c r="I279" s="25"/>
      <c r="J279" s="24"/>
      <c r="K279" s="16"/>
      <c r="L279" s="16"/>
      <c r="M279" s="16"/>
      <c r="N279" s="16"/>
      <c r="O279" s="16"/>
      <c r="P279" s="16"/>
      <c r="Q279" s="16"/>
      <c r="R279" s="16"/>
      <c r="S279" s="16"/>
      <c r="T279" s="16"/>
      <c r="U279" s="16"/>
      <c r="V279" s="16"/>
      <c r="W279" s="16"/>
      <c r="X279" s="16"/>
      <c r="Y279" s="16"/>
      <c r="Z279" s="16"/>
      <c r="AA279" s="16"/>
      <c r="AB279" s="16"/>
      <c r="AC279" s="16"/>
      <c r="AD279" s="16"/>
      <c r="AE279" s="16"/>
      <c r="AF279" s="16"/>
      <c r="AG279" s="16"/>
      <c r="AH279" s="16"/>
      <c r="AI279" s="16"/>
      <c r="AJ279" s="16"/>
      <c r="AK279" s="16"/>
      <c r="AL279" s="16"/>
      <c r="AM279" s="16"/>
      <c r="AN279" s="16"/>
      <c r="AO279" s="16"/>
      <c r="AP279" s="16"/>
      <c r="AQ279" s="16"/>
      <c r="AR279" s="16"/>
      <c r="AS279" s="16"/>
      <c r="AT279" s="16"/>
    </row>
    <row r="280" spans="6:46" x14ac:dyDescent="0.3">
      <c r="F280" s="25"/>
      <c r="G280" s="25"/>
      <c r="H280" s="25"/>
      <c r="I280" s="25"/>
      <c r="J280" s="24"/>
      <c r="K280" s="16"/>
      <c r="L280" s="16"/>
      <c r="M280" s="16"/>
      <c r="N280" s="16"/>
      <c r="O280" s="16"/>
      <c r="P280" s="16"/>
      <c r="Q280" s="16"/>
      <c r="R280" s="16"/>
      <c r="S280" s="16"/>
      <c r="T280" s="16"/>
      <c r="U280" s="16"/>
      <c r="V280" s="16"/>
      <c r="W280" s="16"/>
      <c r="X280" s="16"/>
      <c r="Y280" s="16"/>
      <c r="Z280" s="16"/>
      <c r="AA280" s="16"/>
      <c r="AB280" s="16"/>
      <c r="AC280" s="16"/>
      <c r="AD280" s="16"/>
      <c r="AE280" s="16"/>
      <c r="AF280" s="16"/>
      <c r="AG280" s="16"/>
      <c r="AH280" s="16"/>
      <c r="AI280" s="16"/>
      <c r="AJ280" s="16"/>
      <c r="AK280" s="16"/>
      <c r="AL280" s="16"/>
      <c r="AM280" s="16"/>
      <c r="AN280" s="16"/>
      <c r="AO280" s="16"/>
      <c r="AP280" s="16"/>
      <c r="AQ280" s="16"/>
      <c r="AR280" s="16"/>
      <c r="AS280" s="16"/>
      <c r="AT280" s="16"/>
    </row>
    <row r="281" spans="6:46" x14ac:dyDescent="0.3">
      <c r="F281" s="25"/>
      <c r="G281" s="25"/>
      <c r="H281" s="25"/>
      <c r="I281" s="25"/>
      <c r="J281" s="24"/>
      <c r="K281" s="16"/>
      <c r="L281" s="16"/>
      <c r="M281" s="16"/>
      <c r="N281" s="16"/>
      <c r="O281" s="16"/>
      <c r="P281" s="16"/>
      <c r="Q281" s="16"/>
      <c r="R281" s="16"/>
      <c r="S281" s="16"/>
      <c r="T281" s="16"/>
      <c r="U281" s="16"/>
      <c r="V281" s="16"/>
      <c r="W281" s="16"/>
      <c r="X281" s="16"/>
      <c r="Y281" s="16"/>
      <c r="Z281" s="16"/>
      <c r="AA281" s="16"/>
      <c r="AB281" s="16"/>
      <c r="AC281" s="16"/>
      <c r="AD281" s="16"/>
      <c r="AE281" s="16"/>
      <c r="AF281" s="16"/>
      <c r="AG281" s="16"/>
      <c r="AH281" s="16"/>
      <c r="AI281" s="16"/>
      <c r="AJ281" s="16"/>
      <c r="AK281" s="16"/>
      <c r="AL281" s="16"/>
      <c r="AM281" s="16"/>
      <c r="AN281" s="16"/>
      <c r="AO281" s="16"/>
      <c r="AP281" s="16"/>
      <c r="AQ281" s="16"/>
      <c r="AR281" s="16"/>
      <c r="AS281" s="16"/>
      <c r="AT281" s="16"/>
    </row>
    <row r="282" spans="6:46" x14ac:dyDescent="0.3">
      <c r="F282" s="25"/>
      <c r="G282" s="25"/>
      <c r="H282" s="25"/>
      <c r="I282" s="25"/>
      <c r="J282" s="24"/>
      <c r="K282" s="16"/>
      <c r="L282" s="16"/>
      <c r="M282" s="16"/>
      <c r="N282" s="16"/>
      <c r="O282" s="16"/>
      <c r="P282" s="16"/>
      <c r="Q282" s="16"/>
      <c r="R282" s="16"/>
      <c r="S282" s="16"/>
      <c r="T282" s="16"/>
      <c r="U282" s="16"/>
      <c r="V282" s="16"/>
      <c r="W282" s="16"/>
      <c r="X282" s="16"/>
      <c r="Y282" s="16"/>
      <c r="Z282" s="16"/>
      <c r="AA282" s="16"/>
      <c r="AB282" s="16"/>
      <c r="AC282" s="16"/>
      <c r="AD282" s="16"/>
      <c r="AE282" s="16"/>
      <c r="AF282" s="16"/>
      <c r="AG282" s="16"/>
      <c r="AH282" s="16"/>
      <c r="AI282" s="16"/>
      <c r="AJ282" s="16"/>
      <c r="AK282" s="16"/>
      <c r="AL282" s="16"/>
      <c r="AM282" s="16"/>
      <c r="AN282" s="16"/>
      <c r="AO282" s="16"/>
      <c r="AP282" s="16"/>
      <c r="AQ282" s="16"/>
      <c r="AR282" s="16"/>
      <c r="AS282" s="16"/>
      <c r="AT282" s="16"/>
    </row>
    <row r="283" spans="6:46" x14ac:dyDescent="0.3">
      <c r="F283" s="25"/>
      <c r="G283" s="25"/>
      <c r="H283" s="25"/>
      <c r="I283" s="25"/>
      <c r="J283" s="24"/>
      <c r="K283" s="16"/>
      <c r="L283" s="16"/>
      <c r="M283" s="16"/>
      <c r="N283" s="16"/>
      <c r="O283" s="16"/>
      <c r="P283" s="16"/>
      <c r="Q283" s="16"/>
      <c r="R283" s="16"/>
      <c r="S283" s="16"/>
      <c r="T283" s="16"/>
      <c r="U283" s="16"/>
      <c r="V283" s="16"/>
      <c r="W283" s="16"/>
      <c r="X283" s="16"/>
      <c r="Y283" s="16"/>
      <c r="Z283" s="16"/>
      <c r="AA283" s="16"/>
      <c r="AB283" s="16"/>
      <c r="AC283" s="16"/>
      <c r="AD283" s="16"/>
      <c r="AE283" s="16"/>
      <c r="AF283" s="16"/>
      <c r="AG283" s="16"/>
      <c r="AH283" s="16"/>
      <c r="AI283" s="16"/>
      <c r="AJ283" s="16"/>
      <c r="AK283" s="16"/>
      <c r="AL283" s="16"/>
      <c r="AM283" s="16"/>
      <c r="AN283" s="16"/>
      <c r="AO283" s="16"/>
      <c r="AP283" s="16"/>
      <c r="AQ283" s="16"/>
      <c r="AR283" s="16"/>
      <c r="AS283" s="16"/>
      <c r="AT283" s="16"/>
    </row>
    <row r="284" spans="6:46" x14ac:dyDescent="0.3">
      <c r="F284" s="25"/>
      <c r="G284" s="25"/>
      <c r="H284" s="25"/>
      <c r="I284" s="25"/>
      <c r="J284" s="24"/>
      <c r="K284" s="16"/>
      <c r="L284" s="16"/>
      <c r="M284" s="16"/>
      <c r="N284" s="16"/>
      <c r="O284" s="16"/>
      <c r="P284" s="16"/>
      <c r="Q284" s="16"/>
      <c r="R284" s="16"/>
      <c r="S284" s="16"/>
      <c r="T284" s="16"/>
      <c r="U284" s="16"/>
      <c r="V284" s="16"/>
      <c r="W284" s="16"/>
      <c r="X284" s="16"/>
      <c r="Y284" s="16"/>
      <c r="Z284" s="16"/>
      <c r="AA284" s="16"/>
      <c r="AB284" s="16"/>
      <c r="AC284" s="16"/>
      <c r="AD284" s="16"/>
      <c r="AE284" s="16"/>
      <c r="AF284" s="16"/>
      <c r="AG284" s="16"/>
      <c r="AH284" s="16"/>
      <c r="AI284" s="16"/>
      <c r="AJ284" s="16"/>
      <c r="AK284" s="16"/>
      <c r="AL284" s="16"/>
      <c r="AM284" s="16"/>
      <c r="AN284" s="16"/>
      <c r="AO284" s="16"/>
      <c r="AP284" s="16"/>
      <c r="AQ284" s="16"/>
      <c r="AR284" s="16"/>
      <c r="AS284" s="16"/>
      <c r="AT284" s="16"/>
    </row>
    <row r="285" spans="6:46" x14ac:dyDescent="0.3">
      <c r="F285" s="25"/>
      <c r="G285" s="25"/>
      <c r="H285" s="25"/>
      <c r="I285" s="25"/>
      <c r="J285" s="24"/>
      <c r="K285" s="16"/>
      <c r="L285" s="16"/>
      <c r="M285" s="16"/>
      <c r="N285" s="16"/>
      <c r="O285" s="16"/>
      <c r="P285" s="16"/>
      <c r="Q285" s="16"/>
      <c r="R285" s="16"/>
      <c r="S285" s="16"/>
      <c r="T285" s="16"/>
      <c r="U285" s="16"/>
      <c r="V285" s="16"/>
      <c r="W285" s="16"/>
      <c r="X285" s="16"/>
      <c r="Y285" s="16"/>
      <c r="Z285" s="16"/>
      <c r="AA285" s="16"/>
      <c r="AB285" s="16"/>
      <c r="AC285" s="16"/>
      <c r="AD285" s="16"/>
      <c r="AE285" s="16"/>
      <c r="AF285" s="16"/>
      <c r="AG285" s="16"/>
      <c r="AH285" s="16"/>
      <c r="AI285" s="16"/>
      <c r="AJ285" s="16"/>
      <c r="AK285" s="16"/>
      <c r="AL285" s="16"/>
      <c r="AM285" s="16"/>
      <c r="AN285" s="16"/>
      <c r="AO285" s="16"/>
      <c r="AP285" s="16"/>
      <c r="AQ285" s="16"/>
      <c r="AR285" s="16"/>
      <c r="AS285" s="16"/>
      <c r="AT285" s="16"/>
    </row>
    <row r="286" spans="6:46" x14ac:dyDescent="0.3">
      <c r="F286" s="25"/>
      <c r="G286" s="25"/>
      <c r="H286" s="25"/>
      <c r="I286" s="25"/>
      <c r="J286" s="24"/>
      <c r="K286" s="16"/>
      <c r="L286" s="16"/>
      <c r="M286" s="16"/>
      <c r="N286" s="16"/>
      <c r="O286" s="16"/>
      <c r="P286" s="16"/>
      <c r="Q286" s="16"/>
      <c r="R286" s="16"/>
      <c r="S286" s="16"/>
      <c r="T286" s="16"/>
      <c r="U286" s="16"/>
      <c r="V286" s="16"/>
      <c r="W286" s="16"/>
      <c r="X286" s="16"/>
      <c r="Y286" s="16"/>
      <c r="Z286" s="16"/>
      <c r="AA286" s="16"/>
      <c r="AB286" s="16"/>
      <c r="AC286" s="16"/>
      <c r="AD286" s="16"/>
      <c r="AE286" s="16"/>
      <c r="AF286" s="16"/>
      <c r="AG286" s="16"/>
      <c r="AH286" s="16"/>
      <c r="AI286" s="16"/>
      <c r="AJ286" s="16"/>
      <c r="AK286" s="16"/>
      <c r="AL286" s="16"/>
      <c r="AM286" s="16"/>
      <c r="AN286" s="16"/>
      <c r="AO286" s="16"/>
      <c r="AP286" s="16"/>
      <c r="AQ286" s="16"/>
      <c r="AR286" s="16"/>
      <c r="AS286" s="16"/>
      <c r="AT286" s="16"/>
    </row>
    <row r="287" spans="6:46" x14ac:dyDescent="0.3">
      <c r="F287" s="25"/>
      <c r="G287" s="25"/>
      <c r="H287" s="25"/>
      <c r="I287" s="25"/>
      <c r="J287" s="24"/>
      <c r="K287" s="16"/>
      <c r="L287" s="16"/>
      <c r="M287" s="16"/>
      <c r="N287" s="16"/>
      <c r="O287" s="16"/>
      <c r="P287" s="16"/>
      <c r="Q287" s="16"/>
      <c r="R287" s="16"/>
      <c r="S287" s="16"/>
      <c r="T287" s="16"/>
      <c r="U287" s="16"/>
      <c r="V287" s="16"/>
      <c r="W287" s="16"/>
      <c r="X287" s="16"/>
      <c r="Y287" s="16"/>
      <c r="Z287" s="16"/>
      <c r="AA287" s="16"/>
      <c r="AB287" s="16"/>
      <c r="AC287" s="16"/>
      <c r="AD287" s="16"/>
      <c r="AE287" s="16"/>
      <c r="AF287" s="16"/>
      <c r="AG287" s="16"/>
      <c r="AH287" s="16"/>
      <c r="AI287" s="16"/>
      <c r="AJ287" s="16"/>
      <c r="AK287" s="16"/>
      <c r="AL287" s="16"/>
      <c r="AM287" s="16"/>
      <c r="AN287" s="16"/>
      <c r="AO287" s="16"/>
      <c r="AP287" s="16"/>
      <c r="AQ287" s="16"/>
      <c r="AR287" s="16"/>
      <c r="AS287" s="16"/>
      <c r="AT287" s="16"/>
    </row>
    <row r="288" spans="6:46" x14ac:dyDescent="0.3">
      <c r="F288" s="25"/>
      <c r="G288" s="25"/>
      <c r="H288" s="25"/>
      <c r="I288" s="25"/>
      <c r="J288" s="24"/>
      <c r="K288" s="16"/>
      <c r="L288" s="16"/>
      <c r="M288" s="16"/>
      <c r="N288" s="16"/>
      <c r="O288" s="16"/>
      <c r="P288" s="16"/>
      <c r="Q288" s="16"/>
      <c r="R288" s="16"/>
      <c r="S288" s="16"/>
      <c r="T288" s="16"/>
      <c r="U288" s="16"/>
      <c r="V288" s="16"/>
      <c r="W288" s="16"/>
      <c r="X288" s="16"/>
      <c r="Y288" s="16"/>
      <c r="Z288" s="16"/>
      <c r="AA288" s="16"/>
      <c r="AB288" s="16"/>
      <c r="AC288" s="16"/>
      <c r="AD288" s="16"/>
      <c r="AE288" s="16"/>
      <c r="AF288" s="16"/>
      <c r="AG288" s="16"/>
      <c r="AH288" s="16"/>
      <c r="AI288" s="16"/>
      <c r="AJ288" s="16"/>
      <c r="AK288" s="16"/>
      <c r="AL288" s="16"/>
      <c r="AM288" s="16"/>
      <c r="AN288" s="16"/>
      <c r="AO288" s="16"/>
      <c r="AP288" s="16"/>
      <c r="AQ288" s="16"/>
      <c r="AR288" s="16"/>
      <c r="AS288" s="16"/>
      <c r="AT288" s="16"/>
    </row>
    <row r="289" spans="6:46" x14ac:dyDescent="0.3">
      <c r="F289" s="25"/>
      <c r="G289" s="25"/>
      <c r="H289" s="25"/>
      <c r="I289" s="25"/>
      <c r="J289" s="24"/>
      <c r="K289" s="16"/>
      <c r="L289" s="16"/>
      <c r="M289" s="16"/>
      <c r="N289" s="16"/>
      <c r="O289" s="16"/>
      <c r="P289" s="16"/>
      <c r="Q289" s="16"/>
      <c r="R289" s="16"/>
      <c r="S289" s="16"/>
      <c r="T289" s="16"/>
      <c r="U289" s="16"/>
      <c r="V289" s="16"/>
      <c r="W289" s="16"/>
      <c r="X289" s="16"/>
      <c r="Y289" s="16"/>
      <c r="Z289" s="16"/>
      <c r="AA289" s="16"/>
      <c r="AB289" s="16"/>
      <c r="AC289" s="16"/>
      <c r="AD289" s="16"/>
      <c r="AE289" s="16"/>
      <c r="AF289" s="16"/>
      <c r="AG289" s="16"/>
      <c r="AH289" s="16"/>
      <c r="AI289" s="16"/>
      <c r="AJ289" s="16"/>
      <c r="AK289" s="16"/>
      <c r="AL289" s="16"/>
      <c r="AM289" s="16"/>
      <c r="AN289" s="16"/>
      <c r="AO289" s="16"/>
      <c r="AP289" s="16"/>
      <c r="AQ289" s="16"/>
      <c r="AR289" s="16"/>
      <c r="AS289" s="16"/>
      <c r="AT289" s="16"/>
    </row>
    <row r="290" spans="6:46" x14ac:dyDescent="0.3">
      <c r="F290" s="25"/>
      <c r="G290" s="25"/>
      <c r="H290" s="25"/>
      <c r="I290" s="25"/>
      <c r="J290" s="24"/>
      <c r="K290" s="16"/>
      <c r="L290" s="16"/>
      <c r="M290" s="16"/>
      <c r="N290" s="16"/>
      <c r="O290" s="16"/>
      <c r="P290" s="16"/>
      <c r="Q290" s="16"/>
      <c r="R290" s="16"/>
      <c r="S290" s="16"/>
      <c r="T290" s="16"/>
      <c r="U290" s="16"/>
      <c r="V290" s="16"/>
      <c r="W290" s="16"/>
      <c r="X290" s="16"/>
      <c r="Y290" s="16"/>
      <c r="Z290" s="16"/>
      <c r="AA290" s="16"/>
      <c r="AB290" s="16"/>
      <c r="AC290" s="16"/>
      <c r="AD290" s="16"/>
      <c r="AE290" s="16"/>
      <c r="AF290" s="16"/>
      <c r="AG290" s="16"/>
      <c r="AH290" s="16"/>
      <c r="AI290" s="16"/>
      <c r="AJ290" s="16"/>
      <c r="AK290" s="16"/>
      <c r="AL290" s="16"/>
      <c r="AM290" s="16"/>
      <c r="AN290" s="16"/>
      <c r="AO290" s="16"/>
      <c r="AP290" s="16"/>
      <c r="AQ290" s="16"/>
      <c r="AR290" s="16"/>
      <c r="AS290" s="16"/>
      <c r="AT290" s="16"/>
    </row>
    <row r="291" spans="6:46" x14ac:dyDescent="0.3">
      <c r="F291" s="25"/>
      <c r="G291" s="25"/>
      <c r="H291" s="25"/>
      <c r="I291" s="25"/>
      <c r="J291" s="24"/>
      <c r="K291" s="16"/>
      <c r="L291" s="16"/>
      <c r="M291" s="16"/>
      <c r="N291" s="16"/>
      <c r="O291" s="16"/>
      <c r="P291" s="16"/>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c r="AO291" s="16"/>
      <c r="AP291" s="16"/>
      <c r="AQ291" s="16"/>
      <c r="AR291" s="16"/>
      <c r="AS291" s="16"/>
      <c r="AT291" s="16"/>
    </row>
    <row r="292" spans="6:46" x14ac:dyDescent="0.3">
      <c r="F292" s="25"/>
      <c r="G292" s="25"/>
      <c r="H292" s="25"/>
      <c r="I292" s="25"/>
      <c r="J292" s="24"/>
      <c r="K292" s="16"/>
      <c r="L292" s="16"/>
      <c r="M292" s="16"/>
      <c r="N292" s="16"/>
      <c r="O292" s="16"/>
      <c r="P292" s="16"/>
      <c r="Q292" s="16"/>
      <c r="R292" s="16"/>
      <c r="S292" s="16"/>
      <c r="T292" s="16"/>
      <c r="U292" s="16"/>
      <c r="V292" s="16"/>
      <c r="W292" s="16"/>
      <c r="X292" s="16"/>
      <c r="Y292" s="16"/>
      <c r="Z292" s="16"/>
      <c r="AA292" s="16"/>
      <c r="AB292" s="16"/>
      <c r="AC292" s="16"/>
      <c r="AD292" s="16"/>
      <c r="AE292" s="16"/>
      <c r="AF292" s="16"/>
      <c r="AG292" s="16"/>
      <c r="AH292" s="16"/>
      <c r="AI292" s="16"/>
      <c r="AJ292" s="16"/>
      <c r="AK292" s="16"/>
      <c r="AL292" s="16"/>
      <c r="AM292" s="16"/>
      <c r="AN292" s="16"/>
      <c r="AO292" s="16"/>
      <c r="AP292" s="16"/>
      <c r="AQ292" s="16"/>
      <c r="AR292" s="16"/>
      <c r="AS292" s="16"/>
      <c r="AT292" s="16"/>
    </row>
    <row r="293" spans="6:46" x14ac:dyDescent="0.3">
      <c r="F293" s="25"/>
      <c r="G293" s="25"/>
      <c r="H293" s="25"/>
      <c r="I293" s="25"/>
      <c r="J293" s="24"/>
      <c r="K293" s="16"/>
      <c r="L293" s="16"/>
      <c r="M293" s="16"/>
      <c r="N293" s="16"/>
      <c r="O293" s="16"/>
      <c r="P293" s="16"/>
      <c r="Q293" s="16"/>
      <c r="R293" s="16"/>
      <c r="S293" s="16"/>
      <c r="T293" s="16"/>
      <c r="U293" s="16"/>
      <c r="V293" s="16"/>
      <c r="W293" s="16"/>
      <c r="X293" s="16"/>
      <c r="Y293" s="16"/>
      <c r="Z293" s="16"/>
      <c r="AA293" s="16"/>
      <c r="AB293" s="16"/>
      <c r="AC293" s="16"/>
      <c r="AD293" s="16"/>
      <c r="AE293" s="16"/>
      <c r="AF293" s="16"/>
      <c r="AG293" s="16"/>
      <c r="AH293" s="16"/>
      <c r="AI293" s="16"/>
      <c r="AJ293" s="16"/>
      <c r="AK293" s="16"/>
      <c r="AL293" s="16"/>
      <c r="AM293" s="16"/>
      <c r="AN293" s="16"/>
      <c r="AO293" s="16"/>
      <c r="AP293" s="16"/>
      <c r="AQ293" s="16"/>
      <c r="AR293" s="16"/>
      <c r="AS293" s="16"/>
      <c r="AT293" s="16"/>
    </row>
    <row r="294" spans="6:46" x14ac:dyDescent="0.3">
      <c r="F294" s="25"/>
      <c r="G294" s="25"/>
      <c r="H294" s="25"/>
      <c r="I294" s="25"/>
      <c r="J294" s="24"/>
      <c r="K294" s="16"/>
      <c r="L294" s="16"/>
      <c r="M294" s="16"/>
      <c r="N294" s="16"/>
      <c r="O294" s="16"/>
      <c r="P294" s="16"/>
      <c r="Q294" s="16"/>
      <c r="R294" s="16"/>
      <c r="S294" s="16"/>
      <c r="T294" s="16"/>
      <c r="U294" s="16"/>
      <c r="V294" s="16"/>
      <c r="W294" s="16"/>
      <c r="X294" s="16"/>
      <c r="Y294" s="16"/>
      <c r="Z294" s="16"/>
      <c r="AA294" s="16"/>
      <c r="AB294" s="16"/>
      <c r="AC294" s="16"/>
      <c r="AD294" s="16"/>
      <c r="AE294" s="16"/>
      <c r="AF294" s="16"/>
      <c r="AG294" s="16"/>
      <c r="AH294" s="16"/>
      <c r="AI294" s="16"/>
      <c r="AJ294" s="16"/>
      <c r="AK294" s="16"/>
      <c r="AL294" s="16"/>
      <c r="AM294" s="16"/>
      <c r="AN294" s="16"/>
      <c r="AO294" s="16"/>
      <c r="AP294" s="16"/>
      <c r="AQ294" s="16"/>
      <c r="AR294" s="16"/>
      <c r="AS294" s="16"/>
      <c r="AT294" s="16"/>
    </row>
    <row r="295" spans="6:46" x14ac:dyDescent="0.3">
      <c r="F295" s="25"/>
      <c r="G295" s="25"/>
      <c r="H295" s="25"/>
      <c r="I295" s="25"/>
      <c r="J295" s="24"/>
      <c r="K295" s="16"/>
      <c r="L295" s="16"/>
      <c r="M295" s="16"/>
      <c r="N295" s="16"/>
      <c r="O295" s="16"/>
      <c r="P295" s="16"/>
      <c r="Q295" s="16"/>
      <c r="R295" s="16"/>
      <c r="S295" s="16"/>
      <c r="T295" s="16"/>
      <c r="U295" s="16"/>
      <c r="V295" s="16"/>
      <c r="W295" s="16"/>
      <c r="X295" s="16"/>
      <c r="Y295" s="16"/>
      <c r="Z295" s="16"/>
      <c r="AA295" s="16"/>
      <c r="AB295" s="16"/>
      <c r="AC295" s="16"/>
      <c r="AD295" s="16"/>
      <c r="AE295" s="16"/>
      <c r="AF295" s="16"/>
      <c r="AG295" s="16"/>
      <c r="AH295" s="16"/>
      <c r="AI295" s="16"/>
      <c r="AJ295" s="16"/>
      <c r="AK295" s="16"/>
      <c r="AL295" s="16"/>
      <c r="AM295" s="16"/>
      <c r="AN295" s="16"/>
      <c r="AO295" s="16"/>
      <c r="AP295" s="16"/>
      <c r="AQ295" s="16"/>
      <c r="AR295" s="16"/>
      <c r="AS295" s="16"/>
      <c r="AT295" s="16"/>
    </row>
    <row r="296" spans="6:46" x14ac:dyDescent="0.3">
      <c r="F296" s="25"/>
      <c r="G296" s="25"/>
      <c r="H296" s="25"/>
      <c r="I296" s="25"/>
      <c r="J296" s="24"/>
      <c r="K296" s="16"/>
      <c r="L296" s="16"/>
      <c r="M296" s="16"/>
      <c r="N296" s="16"/>
      <c r="O296" s="16"/>
      <c r="P296" s="16"/>
      <c r="Q296" s="16"/>
      <c r="R296" s="16"/>
      <c r="S296" s="16"/>
      <c r="T296" s="16"/>
      <c r="U296" s="16"/>
      <c r="V296" s="16"/>
      <c r="W296" s="16"/>
      <c r="X296" s="16"/>
      <c r="Y296" s="16"/>
      <c r="Z296" s="16"/>
      <c r="AA296" s="16"/>
      <c r="AB296" s="16"/>
      <c r="AC296" s="16"/>
      <c r="AD296" s="16"/>
      <c r="AE296" s="16"/>
      <c r="AF296" s="16"/>
      <c r="AG296" s="16"/>
      <c r="AH296" s="16"/>
      <c r="AI296" s="16"/>
      <c r="AJ296" s="16"/>
      <c r="AK296" s="16"/>
      <c r="AL296" s="16"/>
      <c r="AM296" s="16"/>
      <c r="AN296" s="16"/>
      <c r="AO296" s="16"/>
      <c r="AP296" s="16"/>
      <c r="AQ296" s="16"/>
      <c r="AR296" s="16"/>
      <c r="AS296" s="16"/>
      <c r="AT296" s="16"/>
    </row>
    <row r="297" spans="6:46" x14ac:dyDescent="0.3">
      <c r="F297" s="25"/>
      <c r="G297" s="25"/>
      <c r="H297" s="25"/>
      <c r="I297" s="25"/>
      <c r="J297" s="24"/>
      <c r="K297" s="16"/>
      <c r="L297" s="16"/>
      <c r="M297" s="16"/>
      <c r="N297" s="16"/>
      <c r="O297" s="16"/>
      <c r="P297" s="16"/>
      <c r="Q297" s="16"/>
      <c r="R297" s="16"/>
      <c r="S297" s="16"/>
      <c r="T297" s="16"/>
      <c r="U297" s="16"/>
      <c r="V297" s="16"/>
      <c r="W297" s="16"/>
      <c r="X297" s="16"/>
      <c r="Y297" s="16"/>
      <c r="Z297" s="16"/>
      <c r="AA297" s="16"/>
      <c r="AB297" s="16"/>
      <c r="AC297" s="16"/>
      <c r="AD297" s="16"/>
      <c r="AE297" s="16"/>
      <c r="AF297" s="16"/>
      <c r="AG297" s="16"/>
      <c r="AH297" s="16"/>
      <c r="AI297" s="16"/>
      <c r="AJ297" s="16"/>
      <c r="AK297" s="16"/>
      <c r="AL297" s="16"/>
      <c r="AM297" s="16"/>
      <c r="AN297" s="16"/>
      <c r="AO297" s="16"/>
      <c r="AP297" s="16"/>
      <c r="AQ297" s="16"/>
      <c r="AR297" s="16"/>
      <c r="AS297" s="16"/>
      <c r="AT297" s="16"/>
    </row>
    <row r="298" spans="6:46" x14ac:dyDescent="0.3">
      <c r="F298" s="25"/>
      <c r="G298" s="25"/>
      <c r="H298" s="25"/>
      <c r="I298" s="25"/>
      <c r="J298" s="24"/>
      <c r="K298" s="16"/>
      <c r="L298" s="16"/>
      <c r="M298" s="16"/>
      <c r="N298" s="16"/>
      <c r="O298" s="16"/>
      <c r="P298" s="16"/>
      <c r="Q298" s="16"/>
      <c r="R298" s="16"/>
      <c r="S298" s="16"/>
      <c r="T298" s="16"/>
      <c r="U298" s="16"/>
      <c r="V298" s="16"/>
      <c r="W298" s="16"/>
      <c r="X298" s="16"/>
      <c r="Y298" s="16"/>
      <c r="Z298" s="16"/>
      <c r="AA298" s="16"/>
      <c r="AB298" s="16"/>
      <c r="AC298" s="16"/>
      <c r="AD298" s="16"/>
      <c r="AE298" s="16"/>
      <c r="AF298" s="16"/>
      <c r="AG298" s="16"/>
      <c r="AH298" s="16"/>
      <c r="AI298" s="16"/>
      <c r="AJ298" s="16"/>
      <c r="AK298" s="16"/>
      <c r="AL298" s="16"/>
      <c r="AM298" s="16"/>
      <c r="AN298" s="16"/>
      <c r="AO298" s="16"/>
      <c r="AP298" s="16"/>
      <c r="AQ298" s="16"/>
      <c r="AR298" s="16"/>
      <c r="AS298" s="16"/>
      <c r="AT298" s="16"/>
    </row>
    <row r="299" spans="6:46" x14ac:dyDescent="0.3">
      <c r="F299" s="25"/>
      <c r="G299" s="25"/>
      <c r="H299" s="25"/>
      <c r="I299" s="25"/>
      <c r="J299" s="24"/>
      <c r="K299" s="16"/>
      <c r="L299" s="16"/>
      <c r="M299" s="16"/>
      <c r="N299" s="16"/>
      <c r="O299" s="16"/>
      <c r="P299" s="16"/>
      <c r="Q299" s="16"/>
      <c r="R299" s="16"/>
      <c r="S299" s="16"/>
      <c r="T299" s="16"/>
      <c r="U299" s="16"/>
      <c r="V299" s="16"/>
      <c r="W299" s="16"/>
      <c r="X299" s="16"/>
      <c r="Y299" s="16"/>
      <c r="Z299" s="16"/>
      <c r="AA299" s="16"/>
      <c r="AB299" s="16"/>
      <c r="AC299" s="16"/>
      <c r="AD299" s="16"/>
      <c r="AE299" s="16"/>
      <c r="AF299" s="16"/>
      <c r="AG299" s="16"/>
      <c r="AH299" s="16"/>
      <c r="AI299" s="16"/>
      <c r="AJ299" s="16"/>
      <c r="AK299" s="16"/>
      <c r="AL299" s="16"/>
      <c r="AM299" s="16"/>
      <c r="AN299" s="16"/>
      <c r="AO299" s="16"/>
      <c r="AP299" s="16"/>
      <c r="AQ299" s="16"/>
      <c r="AR299" s="16"/>
      <c r="AS299" s="16"/>
      <c r="AT299" s="16"/>
    </row>
    <row r="300" spans="6:46" x14ac:dyDescent="0.3">
      <c r="F300" s="25"/>
      <c r="G300" s="25"/>
      <c r="H300" s="25"/>
      <c r="I300" s="25"/>
      <c r="J300" s="24"/>
      <c r="K300" s="16"/>
      <c r="L300" s="16"/>
      <c r="M300" s="16"/>
      <c r="N300" s="16"/>
      <c r="O300" s="16"/>
      <c r="P300" s="16"/>
      <c r="Q300" s="16"/>
      <c r="R300" s="16"/>
      <c r="S300" s="16"/>
      <c r="T300" s="16"/>
      <c r="U300" s="16"/>
      <c r="V300" s="16"/>
      <c r="W300" s="16"/>
      <c r="X300" s="16"/>
      <c r="Y300" s="16"/>
      <c r="Z300" s="16"/>
      <c r="AA300" s="16"/>
      <c r="AB300" s="16"/>
      <c r="AC300" s="16"/>
      <c r="AD300" s="16"/>
      <c r="AE300" s="16"/>
      <c r="AF300" s="16"/>
      <c r="AG300" s="16"/>
      <c r="AH300" s="16"/>
      <c r="AI300" s="16"/>
      <c r="AJ300" s="16"/>
      <c r="AK300" s="16"/>
      <c r="AL300" s="16"/>
      <c r="AM300" s="16"/>
      <c r="AN300" s="16"/>
      <c r="AO300" s="16"/>
      <c r="AP300" s="16"/>
      <c r="AQ300" s="16"/>
      <c r="AR300" s="16"/>
      <c r="AS300" s="16"/>
      <c r="AT300" s="16"/>
    </row>
    <row r="301" spans="6:46" x14ac:dyDescent="0.3">
      <c r="F301" s="25"/>
      <c r="G301" s="25"/>
      <c r="H301" s="25"/>
      <c r="I301" s="25"/>
      <c r="J301" s="24"/>
      <c r="K301" s="16"/>
      <c r="L301" s="16"/>
      <c r="M301" s="16"/>
      <c r="N301" s="16"/>
      <c r="O301" s="16"/>
      <c r="P301" s="16"/>
      <c r="Q301" s="16"/>
      <c r="R301" s="16"/>
      <c r="S301" s="16"/>
      <c r="T301" s="16"/>
      <c r="U301" s="16"/>
      <c r="V301" s="16"/>
      <c r="W301" s="16"/>
      <c r="X301" s="16"/>
      <c r="Y301" s="16"/>
      <c r="Z301" s="16"/>
      <c r="AA301" s="16"/>
      <c r="AB301" s="16"/>
      <c r="AC301" s="16"/>
      <c r="AD301" s="16"/>
      <c r="AE301" s="16"/>
      <c r="AF301" s="16"/>
      <c r="AG301" s="16"/>
      <c r="AH301" s="16"/>
      <c r="AI301" s="16"/>
      <c r="AJ301" s="16"/>
      <c r="AK301" s="16"/>
      <c r="AL301" s="16"/>
      <c r="AM301" s="16"/>
      <c r="AN301" s="16"/>
      <c r="AO301" s="16"/>
      <c r="AP301" s="16"/>
      <c r="AQ301" s="16"/>
      <c r="AR301" s="16"/>
      <c r="AS301" s="16"/>
      <c r="AT301" s="16"/>
    </row>
    <row r="302" spans="6:46" x14ac:dyDescent="0.3">
      <c r="F302" s="25"/>
      <c r="G302" s="25"/>
      <c r="H302" s="25"/>
      <c r="I302" s="25"/>
      <c r="J302" s="24"/>
      <c r="K302" s="16"/>
      <c r="L302" s="16"/>
      <c r="M302" s="16"/>
      <c r="N302" s="16"/>
      <c r="O302" s="16"/>
      <c r="P302" s="16"/>
      <c r="Q302" s="16"/>
      <c r="R302" s="16"/>
      <c r="S302" s="16"/>
      <c r="T302" s="16"/>
      <c r="U302" s="16"/>
      <c r="V302" s="16"/>
      <c r="W302" s="16"/>
      <c r="X302" s="16"/>
      <c r="Y302" s="16"/>
      <c r="Z302" s="16"/>
      <c r="AA302" s="16"/>
      <c r="AB302" s="16"/>
      <c r="AC302" s="16"/>
      <c r="AD302" s="16"/>
      <c r="AE302" s="16"/>
      <c r="AF302" s="16"/>
      <c r="AG302" s="16"/>
      <c r="AH302" s="16"/>
      <c r="AI302" s="16"/>
      <c r="AJ302" s="16"/>
      <c r="AK302" s="16"/>
      <c r="AL302" s="16"/>
      <c r="AM302" s="16"/>
      <c r="AN302" s="16"/>
      <c r="AO302" s="16"/>
      <c r="AP302" s="16"/>
      <c r="AQ302" s="16"/>
      <c r="AR302" s="16"/>
      <c r="AS302" s="16"/>
      <c r="AT302" s="16"/>
    </row>
    <row r="303" spans="6:46" x14ac:dyDescent="0.3">
      <c r="F303" s="25"/>
      <c r="G303" s="25"/>
      <c r="H303" s="25"/>
      <c r="I303" s="25"/>
      <c r="J303" s="24"/>
      <c r="K303" s="16"/>
      <c r="L303" s="16"/>
      <c r="M303" s="16"/>
      <c r="N303" s="16"/>
      <c r="O303" s="16"/>
      <c r="P303" s="16"/>
      <c r="Q303" s="16"/>
      <c r="R303" s="16"/>
      <c r="S303" s="16"/>
      <c r="T303" s="16"/>
      <c r="U303" s="16"/>
      <c r="V303" s="16"/>
      <c r="W303" s="16"/>
      <c r="X303" s="16"/>
      <c r="Y303" s="16"/>
      <c r="Z303" s="16"/>
      <c r="AA303" s="16"/>
      <c r="AB303" s="16"/>
      <c r="AC303" s="16"/>
      <c r="AD303" s="16"/>
      <c r="AE303" s="16"/>
      <c r="AF303" s="16"/>
      <c r="AG303" s="16"/>
      <c r="AH303" s="16"/>
      <c r="AI303" s="16"/>
      <c r="AJ303" s="16"/>
      <c r="AK303" s="16"/>
      <c r="AL303" s="16"/>
      <c r="AM303" s="16"/>
      <c r="AN303" s="16"/>
      <c r="AO303" s="16"/>
      <c r="AP303" s="16"/>
      <c r="AQ303" s="16"/>
      <c r="AR303" s="16"/>
      <c r="AS303" s="16"/>
      <c r="AT303" s="16"/>
    </row>
    <row r="304" spans="6:46" x14ac:dyDescent="0.3">
      <c r="F304" s="25"/>
      <c r="G304" s="25"/>
      <c r="H304" s="25"/>
      <c r="I304" s="25"/>
      <c r="J304" s="24"/>
      <c r="K304" s="16"/>
      <c r="L304" s="16"/>
      <c r="M304" s="16"/>
      <c r="N304" s="16"/>
      <c r="O304" s="16"/>
      <c r="P304" s="16"/>
      <c r="Q304" s="16"/>
      <c r="R304" s="16"/>
      <c r="S304" s="16"/>
      <c r="T304" s="16"/>
      <c r="U304" s="16"/>
      <c r="V304" s="16"/>
      <c r="W304" s="16"/>
      <c r="X304" s="16"/>
      <c r="Y304" s="16"/>
      <c r="Z304" s="16"/>
      <c r="AA304" s="16"/>
      <c r="AB304" s="16"/>
      <c r="AC304" s="16"/>
      <c r="AD304" s="16"/>
      <c r="AE304" s="16"/>
      <c r="AF304" s="16"/>
      <c r="AG304" s="16"/>
      <c r="AH304" s="16"/>
      <c r="AI304" s="16"/>
      <c r="AJ304" s="16"/>
      <c r="AK304" s="16"/>
      <c r="AL304" s="16"/>
      <c r="AM304" s="16"/>
      <c r="AN304" s="16"/>
      <c r="AO304" s="16"/>
      <c r="AP304" s="16"/>
      <c r="AQ304" s="16"/>
      <c r="AR304" s="16"/>
      <c r="AS304" s="16"/>
      <c r="AT304" s="16"/>
    </row>
    <row r="305" spans="6:46" x14ac:dyDescent="0.3">
      <c r="F305" s="25"/>
      <c r="G305" s="25"/>
      <c r="H305" s="25"/>
      <c r="I305" s="25"/>
      <c r="J305" s="24"/>
      <c r="K305" s="16"/>
      <c r="L305" s="16"/>
      <c r="M305" s="16"/>
      <c r="N305" s="16"/>
      <c r="O305" s="16"/>
      <c r="P305" s="16"/>
      <c r="Q305" s="16"/>
      <c r="R305" s="16"/>
      <c r="S305" s="16"/>
      <c r="T305" s="16"/>
      <c r="U305" s="16"/>
      <c r="V305" s="16"/>
      <c r="W305" s="16"/>
      <c r="X305" s="16"/>
      <c r="Y305" s="16"/>
      <c r="Z305" s="16"/>
      <c r="AA305" s="16"/>
      <c r="AB305" s="16"/>
      <c r="AC305" s="16"/>
      <c r="AD305" s="16"/>
      <c r="AE305" s="16"/>
      <c r="AF305" s="16"/>
      <c r="AG305" s="16"/>
      <c r="AH305" s="16"/>
      <c r="AI305" s="16"/>
      <c r="AJ305" s="16"/>
      <c r="AK305" s="16"/>
      <c r="AL305" s="16"/>
      <c r="AM305" s="16"/>
      <c r="AN305" s="16"/>
      <c r="AO305" s="16"/>
      <c r="AP305" s="16"/>
      <c r="AQ305" s="16"/>
      <c r="AR305" s="16"/>
      <c r="AS305" s="16"/>
      <c r="AT305" s="16"/>
    </row>
    <row r="306" spans="6:46" x14ac:dyDescent="0.3">
      <c r="F306" s="25"/>
      <c r="G306" s="25"/>
      <c r="H306" s="25"/>
      <c r="I306" s="25"/>
      <c r="J306" s="24"/>
      <c r="K306" s="16"/>
      <c r="L306" s="16"/>
      <c r="M306" s="16"/>
      <c r="N306" s="16"/>
      <c r="O306" s="16"/>
      <c r="P306" s="16"/>
      <c r="Q306" s="16"/>
      <c r="R306" s="16"/>
      <c r="S306" s="16"/>
      <c r="T306" s="16"/>
      <c r="U306" s="16"/>
      <c r="V306" s="16"/>
      <c r="W306" s="16"/>
      <c r="X306" s="16"/>
      <c r="Y306" s="16"/>
      <c r="Z306" s="16"/>
      <c r="AA306" s="16"/>
      <c r="AB306" s="16"/>
      <c r="AC306" s="16"/>
      <c r="AD306" s="16"/>
      <c r="AE306" s="16"/>
      <c r="AF306" s="16"/>
      <c r="AG306" s="16"/>
      <c r="AH306" s="16"/>
      <c r="AI306" s="16"/>
      <c r="AJ306" s="16"/>
      <c r="AK306" s="16"/>
      <c r="AL306" s="16"/>
      <c r="AM306" s="16"/>
      <c r="AN306" s="16"/>
      <c r="AO306" s="16"/>
      <c r="AP306" s="16"/>
      <c r="AQ306" s="16"/>
      <c r="AR306" s="16"/>
      <c r="AS306" s="16"/>
      <c r="AT306" s="16"/>
    </row>
    <row r="307" spans="6:46" x14ac:dyDescent="0.3">
      <c r="F307" s="25"/>
      <c r="G307" s="25"/>
      <c r="H307" s="25"/>
      <c r="I307" s="25"/>
      <c r="J307" s="24"/>
      <c r="K307" s="16"/>
      <c r="L307" s="16"/>
      <c r="M307" s="16"/>
      <c r="N307" s="16"/>
      <c r="O307" s="16"/>
      <c r="P307" s="16"/>
      <c r="Q307" s="16"/>
      <c r="R307" s="16"/>
      <c r="S307" s="16"/>
      <c r="T307" s="16"/>
      <c r="U307" s="16"/>
      <c r="V307" s="16"/>
      <c r="W307" s="16"/>
      <c r="X307" s="16"/>
      <c r="Y307" s="16"/>
      <c r="Z307" s="16"/>
      <c r="AA307" s="16"/>
      <c r="AB307" s="16"/>
      <c r="AC307" s="16"/>
      <c r="AD307" s="16"/>
      <c r="AE307" s="16"/>
      <c r="AF307" s="16"/>
      <c r="AG307" s="16"/>
      <c r="AH307" s="16"/>
      <c r="AI307" s="16"/>
      <c r="AJ307" s="16"/>
      <c r="AK307" s="16"/>
      <c r="AL307" s="16"/>
      <c r="AM307" s="16"/>
      <c r="AN307" s="16"/>
      <c r="AO307" s="16"/>
      <c r="AP307" s="16"/>
      <c r="AQ307" s="16"/>
      <c r="AR307" s="16"/>
      <c r="AS307" s="16"/>
      <c r="AT307" s="16"/>
    </row>
    <row r="308" spans="6:46" x14ac:dyDescent="0.3">
      <c r="F308" s="25"/>
      <c r="G308" s="25"/>
      <c r="H308" s="25"/>
      <c r="I308" s="25"/>
      <c r="J308" s="25"/>
      <c r="P308" s="16"/>
      <c r="Q308" s="16"/>
      <c r="R308" s="16"/>
      <c r="S308" s="16"/>
      <c r="T308" s="16"/>
      <c r="U308" s="16"/>
      <c r="V308" s="16"/>
      <c r="W308" s="16"/>
      <c r="X308" s="16"/>
      <c r="Y308" s="16"/>
      <c r="Z308" s="16"/>
      <c r="AA308" s="16"/>
      <c r="AB308" s="16"/>
      <c r="AC308" s="16"/>
      <c r="AD308" s="16"/>
      <c r="AE308" s="16"/>
      <c r="AF308" s="16"/>
      <c r="AG308" s="16"/>
      <c r="AH308" s="16"/>
      <c r="AI308" s="16"/>
      <c r="AJ308" s="16"/>
      <c r="AK308" s="16"/>
      <c r="AL308" s="16"/>
      <c r="AM308" s="16"/>
      <c r="AN308" s="16"/>
      <c r="AO308" s="16"/>
      <c r="AP308" s="16"/>
      <c r="AQ308" s="16"/>
      <c r="AR308" s="16"/>
      <c r="AS308" s="16"/>
      <c r="AT308" s="16"/>
    </row>
    <row r="309" spans="6:46" x14ac:dyDescent="0.3">
      <c r="F309" s="25"/>
      <c r="G309" s="25"/>
      <c r="H309" s="25"/>
      <c r="I309" s="25"/>
      <c r="J309" s="25"/>
      <c r="P309" s="16"/>
      <c r="Q309" s="16"/>
      <c r="R309" s="16"/>
      <c r="S309" s="16"/>
      <c r="T309" s="16"/>
      <c r="U309" s="16"/>
      <c r="V309" s="16"/>
      <c r="W309" s="16"/>
      <c r="X309" s="16"/>
      <c r="Y309" s="16"/>
      <c r="Z309" s="16"/>
      <c r="AA309" s="16"/>
      <c r="AB309" s="16"/>
      <c r="AC309" s="16"/>
      <c r="AD309" s="16"/>
      <c r="AE309" s="16"/>
      <c r="AF309" s="16"/>
      <c r="AG309" s="16"/>
      <c r="AH309" s="16"/>
      <c r="AI309" s="16"/>
      <c r="AJ309" s="16"/>
      <c r="AK309" s="16"/>
      <c r="AL309" s="16"/>
      <c r="AM309" s="16"/>
      <c r="AN309" s="16"/>
      <c r="AO309" s="16"/>
      <c r="AP309" s="16"/>
      <c r="AQ309" s="16"/>
      <c r="AR309" s="16"/>
      <c r="AS309" s="16"/>
      <c r="AT309" s="16"/>
    </row>
    <row r="310" spans="6:46" x14ac:dyDescent="0.3">
      <c r="F310" s="25"/>
      <c r="G310" s="25"/>
      <c r="H310" s="25"/>
      <c r="I310" s="25"/>
      <c r="J310" s="25"/>
      <c r="P310" s="16"/>
      <c r="Q310" s="16"/>
      <c r="R310" s="16"/>
      <c r="S310" s="16"/>
      <c r="T310" s="16"/>
      <c r="U310" s="16"/>
      <c r="V310" s="16"/>
      <c r="W310" s="16"/>
      <c r="X310" s="16"/>
      <c r="Y310" s="16"/>
      <c r="Z310" s="16"/>
      <c r="AA310" s="16"/>
      <c r="AB310" s="16"/>
      <c r="AC310" s="16"/>
      <c r="AD310" s="16"/>
      <c r="AE310" s="16"/>
      <c r="AF310" s="16"/>
      <c r="AG310" s="16"/>
      <c r="AH310" s="16"/>
      <c r="AI310" s="16"/>
      <c r="AJ310" s="16"/>
      <c r="AK310" s="16"/>
      <c r="AL310" s="16"/>
      <c r="AM310" s="16"/>
      <c r="AN310" s="16"/>
      <c r="AO310" s="16"/>
      <c r="AP310" s="16"/>
      <c r="AQ310" s="16"/>
      <c r="AR310" s="16"/>
      <c r="AS310" s="16"/>
      <c r="AT310" s="16"/>
    </row>
    <row r="311" spans="6:46" x14ac:dyDescent="0.3">
      <c r="F311" s="25"/>
      <c r="G311" s="25"/>
      <c r="H311" s="25"/>
      <c r="I311" s="25"/>
      <c r="J311" s="25"/>
      <c r="P311" s="16"/>
      <c r="Q311" s="16"/>
      <c r="R311" s="16"/>
      <c r="S311" s="16"/>
      <c r="T311" s="16"/>
      <c r="U311" s="16"/>
      <c r="V311" s="16"/>
      <c r="W311" s="16"/>
      <c r="X311" s="16"/>
      <c r="Y311" s="16"/>
      <c r="Z311" s="16"/>
      <c r="AA311" s="16"/>
      <c r="AB311" s="16"/>
      <c r="AC311" s="16"/>
      <c r="AD311" s="16"/>
      <c r="AE311" s="16"/>
      <c r="AF311" s="16"/>
      <c r="AG311" s="16"/>
      <c r="AH311" s="16"/>
      <c r="AI311" s="16"/>
      <c r="AJ311" s="16"/>
      <c r="AK311" s="16"/>
      <c r="AL311" s="16"/>
      <c r="AM311" s="16"/>
      <c r="AN311" s="16"/>
      <c r="AO311" s="16"/>
      <c r="AP311" s="16"/>
      <c r="AQ311" s="16"/>
      <c r="AR311" s="16"/>
      <c r="AS311" s="16"/>
      <c r="AT311" s="16"/>
    </row>
    <row r="312" spans="6:46" x14ac:dyDescent="0.3">
      <c r="F312" s="25"/>
      <c r="G312" s="25"/>
      <c r="H312" s="25"/>
      <c r="I312" s="25"/>
      <c r="J312" s="25"/>
      <c r="P312" s="16"/>
      <c r="Q312" s="16"/>
      <c r="R312" s="16"/>
      <c r="S312" s="16"/>
      <c r="T312" s="16"/>
      <c r="U312" s="16"/>
      <c r="V312" s="16"/>
      <c r="W312" s="16"/>
      <c r="X312" s="16"/>
      <c r="Y312" s="16"/>
      <c r="Z312" s="16"/>
      <c r="AA312" s="16"/>
      <c r="AB312" s="16"/>
      <c r="AC312" s="16"/>
      <c r="AD312" s="16"/>
      <c r="AE312" s="16"/>
      <c r="AF312" s="16"/>
      <c r="AG312" s="16"/>
      <c r="AH312" s="16"/>
      <c r="AI312" s="16"/>
      <c r="AJ312" s="16"/>
      <c r="AK312" s="16"/>
      <c r="AL312" s="16"/>
      <c r="AM312" s="16"/>
      <c r="AN312" s="16"/>
      <c r="AO312" s="16"/>
      <c r="AP312" s="16"/>
      <c r="AQ312" s="16"/>
      <c r="AR312" s="16"/>
      <c r="AS312" s="16"/>
      <c r="AT312" s="16"/>
    </row>
    <row r="313" spans="6:46" x14ac:dyDescent="0.3">
      <c r="F313" s="25"/>
      <c r="G313" s="25"/>
      <c r="H313" s="25"/>
      <c r="I313" s="25"/>
      <c r="J313" s="25"/>
      <c r="P313" s="16"/>
      <c r="Q313" s="16"/>
      <c r="R313" s="16"/>
      <c r="S313" s="16"/>
      <c r="T313" s="16"/>
      <c r="U313" s="16"/>
      <c r="V313" s="16"/>
      <c r="W313" s="16"/>
      <c r="X313" s="16"/>
      <c r="Y313" s="16"/>
      <c r="Z313" s="16"/>
      <c r="AA313" s="16"/>
      <c r="AB313" s="16"/>
      <c r="AC313" s="16"/>
      <c r="AD313" s="16"/>
      <c r="AE313" s="16"/>
      <c r="AF313" s="16"/>
      <c r="AG313" s="16"/>
      <c r="AH313" s="16"/>
      <c r="AI313" s="16"/>
      <c r="AJ313" s="16"/>
      <c r="AK313" s="16"/>
      <c r="AL313" s="16"/>
      <c r="AM313" s="16"/>
      <c r="AN313" s="16"/>
      <c r="AO313" s="16"/>
      <c r="AP313" s="16"/>
      <c r="AQ313" s="16"/>
      <c r="AR313" s="16"/>
      <c r="AS313" s="16"/>
      <c r="AT313" s="16"/>
    </row>
    <row r="314" spans="6:46" x14ac:dyDescent="0.3">
      <c r="F314" s="25"/>
      <c r="G314" s="25"/>
      <c r="H314" s="25"/>
      <c r="I314" s="25"/>
      <c r="J314" s="25"/>
      <c r="P314" s="16"/>
      <c r="Q314" s="16"/>
      <c r="R314" s="16"/>
      <c r="S314" s="16"/>
      <c r="T314" s="16"/>
      <c r="U314" s="16"/>
      <c r="V314" s="16"/>
      <c r="W314" s="16"/>
      <c r="X314" s="16"/>
      <c r="Y314" s="16"/>
      <c r="Z314" s="16"/>
      <c r="AA314" s="16"/>
      <c r="AB314" s="16"/>
      <c r="AC314" s="16"/>
      <c r="AD314" s="16"/>
      <c r="AE314" s="16"/>
      <c r="AF314" s="16"/>
      <c r="AG314" s="16"/>
      <c r="AH314" s="16"/>
      <c r="AI314" s="16"/>
      <c r="AJ314" s="16"/>
      <c r="AK314" s="16"/>
      <c r="AL314" s="16"/>
      <c r="AM314" s="16"/>
      <c r="AN314" s="16"/>
      <c r="AO314" s="16"/>
      <c r="AP314" s="16"/>
      <c r="AQ314" s="16"/>
      <c r="AR314" s="16"/>
      <c r="AS314" s="16"/>
      <c r="AT314" s="16"/>
    </row>
    <row r="315" spans="6:46" x14ac:dyDescent="0.3">
      <c r="F315" s="25"/>
      <c r="G315" s="25"/>
      <c r="H315" s="25"/>
      <c r="I315" s="25"/>
      <c r="J315" s="25"/>
      <c r="P315" s="16"/>
      <c r="Q315" s="16"/>
      <c r="R315" s="16"/>
      <c r="S315" s="16"/>
      <c r="T315" s="16"/>
      <c r="U315" s="16"/>
      <c r="V315" s="16"/>
      <c r="W315" s="16"/>
      <c r="X315" s="16"/>
      <c r="Y315" s="16"/>
      <c r="Z315" s="16"/>
      <c r="AA315" s="16"/>
      <c r="AB315" s="16"/>
      <c r="AC315" s="16"/>
      <c r="AD315" s="16"/>
      <c r="AE315" s="16"/>
      <c r="AF315" s="16"/>
      <c r="AG315" s="16"/>
      <c r="AH315" s="16"/>
      <c r="AI315" s="16"/>
      <c r="AJ315" s="16"/>
      <c r="AK315" s="16"/>
      <c r="AL315" s="16"/>
      <c r="AM315" s="16"/>
      <c r="AN315" s="16"/>
      <c r="AO315" s="16"/>
      <c r="AP315" s="16"/>
      <c r="AQ315" s="16"/>
      <c r="AR315" s="16"/>
      <c r="AS315" s="16"/>
      <c r="AT315" s="16"/>
    </row>
    <row r="316" spans="6:46" x14ac:dyDescent="0.3">
      <c r="F316" s="25"/>
      <c r="G316" s="25"/>
      <c r="H316" s="25"/>
      <c r="I316" s="25"/>
      <c r="J316" s="25"/>
      <c r="P316" s="16"/>
      <c r="Q316" s="16"/>
      <c r="R316" s="16"/>
      <c r="S316" s="16"/>
      <c r="T316" s="16"/>
      <c r="U316" s="16"/>
      <c r="V316" s="16"/>
      <c r="W316" s="16"/>
      <c r="X316" s="16"/>
      <c r="Y316" s="16"/>
      <c r="Z316" s="16"/>
      <c r="AA316" s="16"/>
      <c r="AB316" s="16"/>
      <c r="AC316" s="16"/>
      <c r="AD316" s="16"/>
      <c r="AE316" s="16"/>
      <c r="AF316" s="16"/>
      <c r="AG316" s="16"/>
      <c r="AH316" s="16"/>
      <c r="AI316" s="16"/>
      <c r="AJ316" s="16"/>
      <c r="AK316" s="16"/>
      <c r="AL316" s="16"/>
      <c r="AM316" s="16"/>
      <c r="AN316" s="16"/>
      <c r="AO316" s="16"/>
      <c r="AP316" s="16"/>
      <c r="AQ316" s="16"/>
      <c r="AR316" s="16"/>
      <c r="AS316" s="16"/>
      <c r="AT316" s="16"/>
    </row>
    <row r="317" spans="6:46" x14ac:dyDescent="0.3">
      <c r="F317" s="25"/>
      <c r="G317" s="25"/>
      <c r="H317" s="25"/>
      <c r="I317" s="25"/>
      <c r="J317" s="25"/>
      <c r="P317" s="16"/>
      <c r="Q317" s="16"/>
      <c r="R317" s="16"/>
      <c r="S317" s="16"/>
      <c r="T317" s="16"/>
      <c r="U317" s="16"/>
      <c r="V317" s="16"/>
      <c r="W317" s="16"/>
      <c r="X317" s="16"/>
      <c r="Y317" s="16"/>
      <c r="Z317" s="16"/>
      <c r="AA317" s="16"/>
      <c r="AB317" s="16"/>
      <c r="AC317" s="16"/>
      <c r="AD317" s="16"/>
      <c r="AE317" s="16"/>
      <c r="AF317" s="16"/>
      <c r="AG317" s="16"/>
      <c r="AH317" s="16"/>
      <c r="AI317" s="16"/>
      <c r="AJ317" s="16"/>
      <c r="AK317" s="16"/>
      <c r="AL317" s="16"/>
      <c r="AM317" s="16"/>
      <c r="AN317" s="16"/>
      <c r="AO317" s="16"/>
      <c r="AP317" s="16"/>
      <c r="AQ317" s="16"/>
      <c r="AR317" s="16"/>
      <c r="AS317" s="16"/>
      <c r="AT317" s="16"/>
    </row>
    <row r="318" spans="6:46" x14ac:dyDescent="0.3">
      <c r="F318" s="25"/>
      <c r="G318" s="25"/>
      <c r="H318" s="25"/>
      <c r="I318" s="25"/>
      <c r="J318" s="25"/>
      <c r="P318" s="16"/>
      <c r="Q318" s="16"/>
      <c r="R318" s="16"/>
      <c r="S318" s="16"/>
      <c r="T318" s="16"/>
      <c r="U318" s="16"/>
      <c r="V318" s="16"/>
      <c r="W318" s="16"/>
      <c r="X318" s="16"/>
      <c r="Y318" s="16"/>
      <c r="Z318" s="16"/>
      <c r="AA318" s="16"/>
      <c r="AB318" s="16"/>
      <c r="AC318" s="16"/>
      <c r="AD318" s="16"/>
      <c r="AE318" s="16"/>
      <c r="AF318" s="16"/>
      <c r="AG318" s="16"/>
      <c r="AH318" s="16"/>
      <c r="AI318" s="16"/>
      <c r="AJ318" s="16"/>
      <c r="AK318" s="16"/>
      <c r="AL318" s="16"/>
      <c r="AM318" s="16"/>
      <c r="AN318" s="16"/>
      <c r="AO318" s="16"/>
      <c r="AP318" s="16"/>
      <c r="AQ318" s="16"/>
      <c r="AR318" s="16"/>
      <c r="AS318" s="16"/>
      <c r="AT318" s="16"/>
    </row>
    <row r="319" spans="6:46" x14ac:dyDescent="0.3">
      <c r="F319" s="25"/>
      <c r="G319" s="25"/>
      <c r="H319" s="25"/>
      <c r="I319" s="25"/>
      <c r="J319" s="25"/>
      <c r="P319" s="16"/>
      <c r="Q319" s="16"/>
      <c r="R319" s="16"/>
      <c r="S319" s="16"/>
      <c r="T319" s="16"/>
      <c r="U319" s="16"/>
      <c r="V319" s="16"/>
      <c r="W319" s="16"/>
      <c r="X319" s="16"/>
      <c r="Y319" s="16"/>
      <c r="Z319" s="16"/>
      <c r="AA319" s="16"/>
      <c r="AB319" s="16"/>
      <c r="AC319" s="16"/>
      <c r="AD319" s="16"/>
      <c r="AE319" s="16"/>
      <c r="AF319" s="16"/>
      <c r="AG319" s="16"/>
      <c r="AH319" s="16"/>
      <c r="AI319" s="16"/>
      <c r="AJ319" s="16"/>
      <c r="AK319" s="16"/>
      <c r="AL319" s="16"/>
      <c r="AM319" s="16"/>
      <c r="AN319" s="16"/>
      <c r="AO319" s="16"/>
      <c r="AP319" s="16"/>
      <c r="AQ319" s="16"/>
      <c r="AR319" s="16"/>
      <c r="AS319" s="16"/>
      <c r="AT319" s="16"/>
    </row>
    <row r="320" spans="6:46" x14ac:dyDescent="0.3">
      <c r="F320" s="25"/>
      <c r="G320" s="25"/>
      <c r="H320" s="25"/>
      <c r="I320" s="25"/>
      <c r="J320" s="25"/>
      <c r="P320" s="16"/>
      <c r="Q320" s="16"/>
      <c r="R320" s="16"/>
      <c r="S320" s="16"/>
      <c r="T320" s="16"/>
      <c r="U320" s="16"/>
      <c r="V320" s="16"/>
      <c r="W320" s="16"/>
      <c r="X320" s="16"/>
      <c r="Y320" s="16"/>
      <c r="Z320" s="16"/>
      <c r="AA320" s="16"/>
      <c r="AB320" s="16"/>
      <c r="AC320" s="16"/>
      <c r="AD320" s="16"/>
      <c r="AE320" s="16"/>
      <c r="AF320" s="16"/>
      <c r="AG320" s="16"/>
      <c r="AH320" s="16"/>
      <c r="AI320" s="16"/>
      <c r="AJ320" s="16"/>
      <c r="AK320" s="16"/>
      <c r="AL320" s="16"/>
      <c r="AM320" s="16"/>
      <c r="AN320" s="16"/>
      <c r="AO320" s="16"/>
      <c r="AP320" s="16"/>
      <c r="AQ320" s="16"/>
      <c r="AR320" s="16"/>
      <c r="AS320" s="16"/>
      <c r="AT320" s="16"/>
    </row>
    <row r="321" spans="6:46" x14ac:dyDescent="0.3">
      <c r="F321" s="25"/>
      <c r="G321" s="25"/>
      <c r="H321" s="25"/>
      <c r="I321" s="25"/>
      <c r="J321" s="25"/>
      <c r="P321" s="16"/>
      <c r="Q321" s="16"/>
      <c r="R321" s="16"/>
      <c r="S321" s="16"/>
      <c r="T321" s="16"/>
      <c r="U321" s="16"/>
      <c r="V321" s="16"/>
      <c r="W321" s="16"/>
      <c r="X321" s="16"/>
      <c r="Y321" s="16"/>
      <c r="Z321" s="16"/>
      <c r="AA321" s="16"/>
      <c r="AB321" s="16"/>
      <c r="AC321" s="16"/>
      <c r="AD321" s="16"/>
      <c r="AE321" s="16"/>
      <c r="AF321" s="16"/>
      <c r="AG321" s="16"/>
      <c r="AH321" s="16"/>
      <c r="AI321" s="16"/>
      <c r="AJ321" s="16"/>
      <c r="AK321" s="16"/>
      <c r="AL321" s="16"/>
      <c r="AM321" s="16"/>
      <c r="AN321" s="16"/>
      <c r="AO321" s="16"/>
      <c r="AP321" s="16"/>
      <c r="AQ321" s="16"/>
      <c r="AR321" s="16"/>
      <c r="AS321" s="16"/>
      <c r="AT321" s="16"/>
    </row>
    <row r="322" spans="6:46" x14ac:dyDescent="0.3">
      <c r="F322" s="25"/>
      <c r="G322" s="25"/>
      <c r="H322" s="25"/>
      <c r="I322" s="25"/>
      <c r="J322" s="25"/>
      <c r="P322" s="16"/>
      <c r="Q322" s="16"/>
      <c r="R322" s="16"/>
      <c r="S322" s="16"/>
      <c r="T322" s="16"/>
      <c r="U322" s="16"/>
      <c r="V322" s="16"/>
      <c r="W322" s="16"/>
      <c r="X322" s="16"/>
      <c r="Y322" s="16"/>
      <c r="Z322" s="16"/>
      <c r="AA322" s="16"/>
      <c r="AB322" s="16"/>
      <c r="AC322" s="16"/>
      <c r="AD322" s="16"/>
      <c r="AE322" s="16"/>
      <c r="AF322" s="16"/>
      <c r="AG322" s="16"/>
      <c r="AH322" s="16"/>
      <c r="AI322" s="16"/>
      <c r="AJ322" s="16"/>
      <c r="AK322" s="16"/>
      <c r="AL322" s="16"/>
      <c r="AM322" s="16"/>
      <c r="AN322" s="16"/>
      <c r="AO322" s="16"/>
      <c r="AP322" s="16"/>
      <c r="AQ322" s="16"/>
      <c r="AR322" s="16"/>
      <c r="AS322" s="16"/>
      <c r="AT322" s="16"/>
    </row>
    <row r="323" spans="6:46" x14ac:dyDescent="0.3">
      <c r="F323" s="25"/>
      <c r="G323" s="25"/>
      <c r="H323" s="25"/>
      <c r="I323" s="25"/>
      <c r="J323" s="25"/>
      <c r="P323" s="16"/>
      <c r="Q323" s="16"/>
      <c r="R323" s="16"/>
      <c r="S323" s="16"/>
      <c r="T323" s="16"/>
      <c r="U323" s="16"/>
      <c r="V323" s="16"/>
      <c r="W323" s="16"/>
      <c r="X323" s="16"/>
      <c r="Y323" s="16"/>
      <c r="Z323" s="16"/>
      <c r="AA323" s="16"/>
      <c r="AB323" s="16"/>
      <c r="AC323" s="16"/>
      <c r="AD323" s="16"/>
      <c r="AE323" s="16"/>
      <c r="AF323" s="16"/>
      <c r="AG323" s="16"/>
      <c r="AH323" s="16"/>
      <c r="AI323" s="16"/>
      <c r="AJ323" s="16"/>
      <c r="AK323" s="16"/>
      <c r="AL323" s="16"/>
      <c r="AM323" s="16"/>
      <c r="AN323" s="16"/>
      <c r="AO323" s="16"/>
      <c r="AP323" s="16"/>
      <c r="AQ323" s="16"/>
      <c r="AR323" s="16"/>
      <c r="AS323" s="16"/>
      <c r="AT323" s="16"/>
    </row>
    <row r="324" spans="6:46" x14ac:dyDescent="0.3">
      <c r="F324" s="25"/>
      <c r="G324" s="25"/>
      <c r="H324" s="25"/>
      <c r="I324" s="25"/>
      <c r="J324" s="25"/>
      <c r="P324" s="16"/>
      <c r="Q324" s="16"/>
      <c r="R324" s="16"/>
      <c r="S324" s="16"/>
      <c r="T324" s="16"/>
      <c r="U324" s="16"/>
      <c r="V324" s="16"/>
      <c r="W324" s="16"/>
      <c r="X324" s="16"/>
      <c r="Y324" s="16"/>
      <c r="Z324" s="16"/>
      <c r="AA324" s="16"/>
      <c r="AB324" s="16"/>
      <c r="AC324" s="16"/>
      <c r="AD324" s="16"/>
      <c r="AE324" s="16"/>
      <c r="AF324" s="16"/>
      <c r="AG324" s="16"/>
      <c r="AH324" s="16"/>
      <c r="AI324" s="16"/>
      <c r="AJ324" s="16"/>
      <c r="AK324" s="16"/>
      <c r="AL324" s="16"/>
      <c r="AM324" s="16"/>
      <c r="AN324" s="16"/>
      <c r="AO324" s="16"/>
      <c r="AP324" s="16"/>
      <c r="AQ324" s="16"/>
      <c r="AR324" s="16"/>
      <c r="AS324" s="16"/>
      <c r="AT324" s="16"/>
    </row>
    <row r="325" spans="6:46" x14ac:dyDescent="0.3">
      <c r="F325" s="25"/>
      <c r="G325" s="25"/>
      <c r="H325" s="25"/>
      <c r="I325" s="25"/>
      <c r="J325" s="25"/>
      <c r="P325" s="16"/>
      <c r="Q325" s="16"/>
      <c r="R325" s="16"/>
      <c r="S325" s="16"/>
      <c r="T325" s="16"/>
      <c r="U325" s="16"/>
      <c r="V325" s="16"/>
      <c r="W325" s="16"/>
      <c r="X325" s="16"/>
      <c r="Y325" s="16"/>
      <c r="Z325" s="16"/>
      <c r="AA325" s="16"/>
      <c r="AB325" s="16"/>
      <c r="AC325" s="16"/>
      <c r="AD325" s="16"/>
      <c r="AE325" s="16"/>
      <c r="AF325" s="16"/>
      <c r="AG325" s="16"/>
      <c r="AH325" s="16"/>
      <c r="AI325" s="16"/>
      <c r="AJ325" s="16"/>
      <c r="AK325" s="16"/>
      <c r="AL325" s="16"/>
      <c r="AM325" s="16"/>
      <c r="AN325" s="16"/>
      <c r="AO325" s="16"/>
      <c r="AP325" s="16"/>
      <c r="AQ325" s="16"/>
      <c r="AR325" s="16"/>
      <c r="AS325" s="16"/>
      <c r="AT325" s="16"/>
    </row>
    <row r="326" spans="6:46" x14ac:dyDescent="0.3">
      <c r="F326" s="25"/>
      <c r="G326" s="25"/>
      <c r="H326" s="25"/>
      <c r="I326" s="25"/>
      <c r="J326" s="25"/>
      <c r="P326" s="16"/>
      <c r="Q326" s="16"/>
      <c r="R326" s="16"/>
      <c r="S326" s="16"/>
      <c r="T326" s="16"/>
      <c r="U326" s="16"/>
      <c r="V326" s="16"/>
      <c r="W326" s="16"/>
      <c r="X326" s="16"/>
      <c r="Y326" s="16"/>
      <c r="Z326" s="16"/>
      <c r="AA326" s="16"/>
      <c r="AB326" s="16"/>
      <c r="AC326" s="16"/>
      <c r="AD326" s="16"/>
      <c r="AE326" s="16"/>
      <c r="AF326" s="16"/>
      <c r="AG326" s="16"/>
      <c r="AH326" s="16"/>
      <c r="AI326" s="16"/>
      <c r="AJ326" s="16"/>
      <c r="AK326" s="16"/>
      <c r="AL326" s="16"/>
      <c r="AM326" s="16"/>
      <c r="AN326" s="16"/>
      <c r="AO326" s="16"/>
      <c r="AP326" s="16"/>
      <c r="AQ326" s="16"/>
      <c r="AR326" s="16"/>
      <c r="AS326" s="16"/>
      <c r="AT326" s="16"/>
    </row>
    <row r="327" spans="6:46" x14ac:dyDescent="0.3">
      <c r="F327" s="25"/>
      <c r="G327" s="25"/>
      <c r="H327" s="25"/>
      <c r="I327" s="25"/>
      <c r="J327" s="25"/>
      <c r="P327" s="16"/>
      <c r="Q327" s="16"/>
      <c r="R327" s="16"/>
      <c r="S327" s="16"/>
      <c r="T327" s="16"/>
      <c r="U327" s="16"/>
      <c r="V327" s="16"/>
      <c r="W327" s="16"/>
      <c r="X327" s="16"/>
      <c r="Y327" s="16"/>
      <c r="Z327" s="16"/>
      <c r="AA327" s="16"/>
      <c r="AB327" s="16"/>
      <c r="AC327" s="16"/>
      <c r="AD327" s="16"/>
      <c r="AE327" s="16"/>
      <c r="AF327" s="16"/>
      <c r="AG327" s="16"/>
      <c r="AH327" s="16"/>
      <c r="AI327" s="16"/>
      <c r="AJ327" s="16"/>
      <c r="AK327" s="16"/>
      <c r="AL327" s="16"/>
      <c r="AM327" s="16"/>
      <c r="AN327" s="16"/>
      <c r="AO327" s="16"/>
      <c r="AP327" s="16"/>
      <c r="AQ327" s="16"/>
      <c r="AR327" s="16"/>
      <c r="AS327" s="16"/>
      <c r="AT327" s="16"/>
    </row>
    <row r="328" spans="6:46" x14ac:dyDescent="0.3">
      <c r="F328" s="25"/>
      <c r="G328" s="25"/>
      <c r="H328" s="25"/>
      <c r="I328" s="25"/>
      <c r="J328" s="25"/>
      <c r="P328" s="16"/>
      <c r="Q328" s="16"/>
      <c r="R328" s="16"/>
      <c r="S328" s="16"/>
      <c r="T328" s="16"/>
      <c r="U328" s="16"/>
      <c r="V328" s="16"/>
      <c r="W328" s="16"/>
      <c r="X328" s="16"/>
      <c r="Y328" s="16"/>
      <c r="Z328" s="16"/>
      <c r="AA328" s="16"/>
      <c r="AB328" s="16"/>
      <c r="AC328" s="16"/>
      <c r="AD328" s="16"/>
      <c r="AE328" s="16"/>
      <c r="AF328" s="16"/>
      <c r="AG328" s="16"/>
      <c r="AH328" s="16"/>
      <c r="AI328" s="16"/>
      <c r="AJ328" s="16"/>
      <c r="AK328" s="16"/>
      <c r="AL328" s="16"/>
      <c r="AM328" s="16"/>
      <c r="AN328" s="16"/>
      <c r="AO328" s="16"/>
      <c r="AP328" s="16"/>
      <c r="AQ328" s="16"/>
      <c r="AR328" s="16"/>
      <c r="AS328" s="16"/>
      <c r="AT328" s="16"/>
    </row>
    <row r="329" spans="6:46" x14ac:dyDescent="0.3">
      <c r="F329" s="25"/>
      <c r="G329" s="25"/>
      <c r="H329" s="25"/>
      <c r="I329" s="25"/>
      <c r="J329" s="25"/>
      <c r="P329" s="16"/>
      <c r="Q329" s="16"/>
      <c r="R329" s="16"/>
      <c r="S329" s="16"/>
      <c r="T329" s="16"/>
      <c r="U329" s="16"/>
      <c r="V329" s="16"/>
      <c r="W329" s="16"/>
      <c r="X329" s="16"/>
      <c r="Y329" s="16"/>
      <c r="Z329" s="16"/>
      <c r="AA329" s="16"/>
      <c r="AB329" s="16"/>
      <c r="AC329" s="16"/>
      <c r="AD329" s="16"/>
      <c r="AE329" s="16"/>
      <c r="AF329" s="16"/>
      <c r="AG329" s="16"/>
      <c r="AH329" s="16"/>
      <c r="AI329" s="16"/>
      <c r="AJ329" s="16"/>
      <c r="AK329" s="16"/>
      <c r="AL329" s="16"/>
      <c r="AM329" s="16"/>
      <c r="AN329" s="16"/>
      <c r="AO329" s="16"/>
      <c r="AP329" s="16"/>
      <c r="AQ329" s="16"/>
      <c r="AR329" s="16"/>
      <c r="AS329" s="16"/>
      <c r="AT329" s="16"/>
    </row>
    <row r="330" spans="6:46" x14ac:dyDescent="0.3">
      <c r="F330" s="25"/>
      <c r="G330" s="25"/>
      <c r="H330" s="25"/>
      <c r="I330" s="25"/>
      <c r="J330" s="25"/>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c r="AO330" s="16"/>
      <c r="AP330" s="16"/>
      <c r="AQ330" s="16"/>
      <c r="AR330" s="16"/>
      <c r="AS330" s="16"/>
      <c r="AT330" s="16"/>
    </row>
    <row r="331" spans="6:46" x14ac:dyDescent="0.3">
      <c r="F331" s="25"/>
      <c r="G331" s="25"/>
      <c r="H331" s="25"/>
      <c r="I331" s="25"/>
      <c r="J331" s="25"/>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c r="AO331" s="16"/>
      <c r="AP331" s="16"/>
      <c r="AQ331" s="16"/>
      <c r="AR331" s="16"/>
      <c r="AS331" s="16"/>
      <c r="AT331" s="16"/>
    </row>
    <row r="332" spans="6:46" x14ac:dyDescent="0.3">
      <c r="F332" s="25"/>
      <c r="G332" s="25"/>
      <c r="H332" s="25"/>
      <c r="I332" s="25"/>
      <c r="J332" s="25"/>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c r="AO332" s="16"/>
      <c r="AP332" s="16"/>
      <c r="AQ332" s="16"/>
      <c r="AR332" s="16"/>
      <c r="AS332" s="16"/>
      <c r="AT332" s="16"/>
    </row>
    <row r="333" spans="6:46" x14ac:dyDescent="0.3">
      <c r="F333" s="25"/>
      <c r="G333" s="25"/>
      <c r="H333" s="25"/>
      <c r="I333" s="25"/>
      <c r="J333" s="25"/>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c r="AO333" s="16"/>
      <c r="AP333" s="16"/>
      <c r="AQ333" s="16"/>
      <c r="AR333" s="16"/>
      <c r="AS333" s="16"/>
      <c r="AT333" s="16"/>
    </row>
    <row r="334" spans="6:46" x14ac:dyDescent="0.3">
      <c r="F334" s="25"/>
      <c r="G334" s="25"/>
      <c r="H334" s="25"/>
      <c r="I334" s="25"/>
      <c r="J334" s="25"/>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c r="AQ334" s="16"/>
      <c r="AR334" s="16"/>
      <c r="AS334" s="16"/>
      <c r="AT334" s="16"/>
    </row>
    <row r="335" spans="6:46" x14ac:dyDescent="0.3">
      <c r="F335" s="25"/>
      <c r="G335" s="25"/>
      <c r="H335" s="25"/>
      <c r="I335" s="25"/>
      <c r="J335" s="25"/>
      <c r="P335" s="16"/>
      <c r="Q335" s="16"/>
      <c r="R335" s="16"/>
      <c r="S335" s="16"/>
      <c r="T335" s="16"/>
      <c r="U335" s="16"/>
      <c r="V335" s="16"/>
      <c r="W335" s="16"/>
      <c r="X335" s="16"/>
      <c r="Y335" s="16"/>
      <c r="Z335" s="16"/>
      <c r="AA335" s="16"/>
      <c r="AB335" s="16"/>
      <c r="AC335" s="16"/>
      <c r="AD335" s="16"/>
      <c r="AE335" s="16"/>
      <c r="AF335" s="16"/>
      <c r="AG335" s="16"/>
      <c r="AH335" s="16"/>
      <c r="AI335" s="16"/>
      <c r="AJ335" s="16"/>
      <c r="AK335" s="16"/>
      <c r="AL335" s="16"/>
      <c r="AM335" s="16"/>
      <c r="AN335" s="16"/>
      <c r="AO335" s="16"/>
      <c r="AP335" s="16"/>
      <c r="AQ335" s="16"/>
      <c r="AR335" s="16"/>
      <c r="AS335" s="16"/>
      <c r="AT335" s="16"/>
    </row>
    <row r="336" spans="6:46" x14ac:dyDescent="0.3">
      <c r="F336" s="25"/>
      <c r="G336" s="25"/>
      <c r="H336" s="25"/>
      <c r="I336" s="25"/>
      <c r="J336" s="25"/>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c r="AR336" s="16"/>
      <c r="AS336" s="16"/>
      <c r="AT336" s="16"/>
    </row>
    <row r="337" spans="6:46" x14ac:dyDescent="0.3">
      <c r="F337" s="25"/>
      <c r="G337" s="25"/>
      <c r="H337" s="25"/>
      <c r="I337" s="25"/>
      <c r="J337" s="25"/>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c r="AR337" s="16"/>
      <c r="AS337" s="16"/>
      <c r="AT337" s="16"/>
    </row>
    <row r="338" spans="6:46" x14ac:dyDescent="0.3">
      <c r="F338" s="25"/>
      <c r="G338" s="25"/>
      <c r="H338" s="25"/>
      <c r="I338" s="25"/>
      <c r="J338" s="25"/>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c r="AR338" s="16"/>
      <c r="AS338" s="16"/>
      <c r="AT338" s="16"/>
    </row>
    <row r="339" spans="6:46" x14ac:dyDescent="0.3">
      <c r="F339" s="25"/>
      <c r="G339" s="25"/>
      <c r="H339" s="25"/>
      <c r="I339" s="25"/>
      <c r="J339" s="25"/>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c r="AR339" s="16"/>
      <c r="AS339" s="16"/>
      <c r="AT339" s="16"/>
    </row>
    <row r="340" spans="6:46" x14ac:dyDescent="0.3">
      <c r="F340" s="25"/>
      <c r="G340" s="25"/>
      <c r="H340" s="25"/>
      <c r="I340" s="25"/>
      <c r="J340" s="25"/>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c r="AR340" s="16"/>
      <c r="AS340" s="16"/>
      <c r="AT340" s="16"/>
    </row>
    <row r="341" spans="6:46" x14ac:dyDescent="0.3">
      <c r="F341" s="25"/>
      <c r="G341" s="25"/>
      <c r="H341" s="25"/>
      <c r="I341" s="25"/>
      <c r="J341" s="25"/>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c r="AO341" s="16"/>
      <c r="AP341" s="16"/>
      <c r="AQ341" s="16"/>
      <c r="AR341" s="16"/>
      <c r="AS341" s="16"/>
      <c r="AT341" s="16"/>
    </row>
    <row r="342" spans="6:46" x14ac:dyDescent="0.3">
      <c r="F342" s="25"/>
      <c r="G342" s="25"/>
      <c r="H342" s="25"/>
      <c r="I342" s="25"/>
      <c r="J342" s="25"/>
      <c r="P342" s="16"/>
      <c r="Q342" s="16"/>
      <c r="R342" s="16"/>
      <c r="S342" s="16"/>
      <c r="T342" s="16"/>
      <c r="U342" s="16"/>
      <c r="V342" s="16"/>
      <c r="W342" s="16"/>
      <c r="X342" s="16"/>
      <c r="Y342" s="16"/>
      <c r="Z342" s="16"/>
      <c r="AA342" s="16"/>
      <c r="AB342" s="16"/>
      <c r="AC342" s="16"/>
      <c r="AD342" s="16"/>
      <c r="AE342" s="16"/>
      <c r="AF342" s="16"/>
      <c r="AG342" s="16"/>
      <c r="AH342" s="16"/>
      <c r="AI342" s="16"/>
      <c r="AJ342" s="16"/>
      <c r="AK342" s="16"/>
      <c r="AL342" s="16"/>
      <c r="AM342" s="16"/>
      <c r="AN342" s="16"/>
      <c r="AO342" s="16"/>
      <c r="AP342" s="16"/>
      <c r="AQ342" s="16"/>
      <c r="AR342" s="16"/>
      <c r="AS342" s="16"/>
      <c r="AT342" s="16"/>
    </row>
    <row r="343" spans="6:46" x14ac:dyDescent="0.3">
      <c r="F343" s="25"/>
      <c r="G343" s="25"/>
      <c r="H343" s="25"/>
      <c r="I343" s="25"/>
      <c r="J343" s="25"/>
      <c r="P343" s="16"/>
      <c r="Q343" s="16"/>
      <c r="R343" s="16"/>
      <c r="S343" s="16"/>
      <c r="T343" s="16"/>
      <c r="U343" s="16"/>
      <c r="V343" s="16"/>
      <c r="W343" s="16"/>
      <c r="X343" s="16"/>
      <c r="Y343" s="16"/>
      <c r="Z343" s="16"/>
      <c r="AA343" s="16"/>
      <c r="AB343" s="16"/>
      <c r="AC343" s="16"/>
      <c r="AD343" s="16"/>
      <c r="AE343" s="16"/>
      <c r="AF343" s="16"/>
      <c r="AG343" s="16"/>
      <c r="AH343" s="16"/>
      <c r="AI343" s="16"/>
      <c r="AJ343" s="16"/>
      <c r="AK343" s="16"/>
      <c r="AL343" s="16"/>
      <c r="AM343" s="16"/>
      <c r="AN343" s="16"/>
      <c r="AO343" s="16"/>
      <c r="AP343" s="16"/>
      <c r="AQ343" s="16"/>
      <c r="AR343" s="16"/>
      <c r="AS343" s="16"/>
      <c r="AT343" s="16"/>
    </row>
    <row r="344" spans="6:46" x14ac:dyDescent="0.3">
      <c r="F344" s="25"/>
      <c r="G344" s="25"/>
      <c r="H344" s="25"/>
      <c r="I344" s="25"/>
      <c r="J344" s="25"/>
      <c r="P344" s="16"/>
      <c r="Q344" s="16"/>
      <c r="R344" s="16"/>
      <c r="S344" s="16"/>
      <c r="T344" s="16"/>
      <c r="U344" s="16"/>
      <c r="V344" s="16"/>
      <c r="W344" s="16"/>
      <c r="X344" s="16"/>
      <c r="Y344" s="16"/>
      <c r="Z344" s="16"/>
      <c r="AA344" s="16"/>
      <c r="AB344" s="16"/>
      <c r="AC344" s="16"/>
      <c r="AD344" s="16"/>
      <c r="AE344" s="16"/>
      <c r="AF344" s="16"/>
      <c r="AG344" s="16"/>
      <c r="AH344" s="16"/>
      <c r="AI344" s="16"/>
      <c r="AJ344" s="16"/>
      <c r="AK344" s="16"/>
      <c r="AL344" s="16"/>
      <c r="AM344" s="16"/>
      <c r="AN344" s="16"/>
      <c r="AO344" s="16"/>
      <c r="AP344" s="16"/>
      <c r="AQ344" s="16"/>
      <c r="AR344" s="16"/>
      <c r="AS344" s="16"/>
      <c r="AT344" s="16"/>
    </row>
    <row r="345" spans="6:46" x14ac:dyDescent="0.3">
      <c r="F345" s="25"/>
      <c r="G345" s="25"/>
      <c r="H345" s="25"/>
      <c r="I345" s="25"/>
      <c r="J345" s="25"/>
      <c r="P345" s="16"/>
      <c r="Q345" s="16"/>
      <c r="R345" s="16"/>
      <c r="S345" s="16"/>
      <c r="T345" s="16"/>
      <c r="U345" s="16"/>
      <c r="V345" s="16"/>
      <c r="W345" s="16"/>
      <c r="X345" s="16"/>
      <c r="Y345" s="16"/>
      <c r="Z345" s="16"/>
      <c r="AA345" s="16"/>
      <c r="AB345" s="16"/>
      <c r="AC345" s="16"/>
      <c r="AD345" s="16"/>
      <c r="AE345" s="16"/>
      <c r="AF345" s="16"/>
      <c r="AG345" s="16"/>
      <c r="AH345" s="16"/>
      <c r="AI345" s="16"/>
      <c r="AJ345" s="16"/>
      <c r="AK345" s="16"/>
      <c r="AL345" s="16"/>
      <c r="AM345" s="16"/>
      <c r="AN345" s="16"/>
      <c r="AO345" s="16"/>
      <c r="AP345" s="16"/>
      <c r="AQ345" s="16"/>
      <c r="AR345" s="16"/>
      <c r="AS345" s="16"/>
      <c r="AT345" s="16"/>
    </row>
    <row r="346" spans="6:46" x14ac:dyDescent="0.3">
      <c r="F346" s="25"/>
      <c r="G346" s="25"/>
      <c r="H346" s="25"/>
      <c r="I346" s="25"/>
      <c r="J346" s="25"/>
      <c r="P346" s="16"/>
      <c r="Q346" s="16"/>
      <c r="R346" s="16"/>
      <c r="S346" s="16"/>
      <c r="T346" s="16"/>
      <c r="U346" s="16"/>
      <c r="V346" s="16"/>
      <c r="W346" s="16"/>
      <c r="X346" s="16"/>
      <c r="Y346" s="16"/>
      <c r="Z346" s="16"/>
      <c r="AA346" s="16"/>
      <c r="AB346" s="16"/>
      <c r="AC346" s="16"/>
      <c r="AD346" s="16"/>
      <c r="AE346" s="16"/>
      <c r="AF346" s="16"/>
      <c r="AG346" s="16"/>
      <c r="AH346" s="16"/>
      <c r="AI346" s="16"/>
      <c r="AJ346" s="16"/>
      <c r="AK346" s="16"/>
      <c r="AL346" s="16"/>
      <c r="AM346" s="16"/>
      <c r="AN346" s="16"/>
      <c r="AO346" s="16"/>
      <c r="AP346" s="16"/>
      <c r="AQ346" s="16"/>
      <c r="AR346" s="16"/>
      <c r="AS346" s="16"/>
      <c r="AT346" s="16"/>
    </row>
    <row r="347" spans="6:46" x14ac:dyDescent="0.3">
      <c r="F347" s="25"/>
      <c r="G347" s="25"/>
      <c r="H347" s="25"/>
      <c r="I347" s="25"/>
      <c r="J347" s="25"/>
      <c r="P347" s="16"/>
      <c r="Q347" s="16"/>
      <c r="R347" s="16"/>
      <c r="S347" s="16"/>
      <c r="T347" s="16"/>
      <c r="U347" s="16"/>
      <c r="V347" s="16"/>
      <c r="W347" s="16"/>
      <c r="X347" s="16"/>
      <c r="Y347" s="16"/>
      <c r="Z347" s="16"/>
      <c r="AA347" s="16"/>
      <c r="AB347" s="16"/>
      <c r="AC347" s="16"/>
      <c r="AD347" s="16"/>
      <c r="AE347" s="16"/>
      <c r="AF347" s="16"/>
      <c r="AG347" s="16"/>
      <c r="AH347" s="16"/>
      <c r="AI347" s="16"/>
      <c r="AJ347" s="16"/>
      <c r="AK347" s="16"/>
      <c r="AL347" s="16"/>
      <c r="AM347" s="16"/>
      <c r="AN347" s="16"/>
      <c r="AO347" s="16"/>
      <c r="AP347" s="16"/>
      <c r="AQ347" s="16"/>
      <c r="AR347" s="16"/>
      <c r="AS347" s="16"/>
      <c r="AT347" s="16"/>
    </row>
    <row r="348" spans="6:46" x14ac:dyDescent="0.3">
      <c r="F348" s="25"/>
      <c r="G348" s="25"/>
      <c r="H348" s="25"/>
      <c r="I348" s="25"/>
      <c r="J348" s="25"/>
      <c r="P348" s="16"/>
      <c r="Q348" s="16"/>
      <c r="R348" s="16"/>
      <c r="S348" s="16"/>
      <c r="T348" s="16"/>
      <c r="U348" s="16"/>
      <c r="V348" s="16"/>
      <c r="W348" s="16"/>
      <c r="X348" s="16"/>
      <c r="Y348" s="16"/>
      <c r="Z348" s="16"/>
      <c r="AA348" s="16"/>
      <c r="AB348" s="16"/>
      <c r="AC348" s="16"/>
      <c r="AD348" s="16"/>
      <c r="AE348" s="16"/>
      <c r="AF348" s="16"/>
      <c r="AG348" s="16"/>
      <c r="AH348" s="16"/>
      <c r="AI348" s="16"/>
      <c r="AJ348" s="16"/>
      <c r="AK348" s="16"/>
      <c r="AL348" s="16"/>
      <c r="AM348" s="16"/>
      <c r="AN348" s="16"/>
      <c r="AO348" s="16"/>
      <c r="AP348" s="16"/>
      <c r="AQ348" s="16"/>
      <c r="AR348" s="16"/>
      <c r="AS348" s="16"/>
      <c r="AT348" s="16"/>
    </row>
    <row r="349" spans="6:46" x14ac:dyDescent="0.3">
      <c r="P349" s="16"/>
      <c r="Q349" s="16"/>
      <c r="R349" s="16"/>
      <c r="S349" s="16"/>
      <c r="T349" s="16"/>
      <c r="U349" s="16"/>
      <c r="V349" s="16"/>
      <c r="W349" s="16"/>
      <c r="X349" s="16"/>
      <c r="Y349" s="16"/>
      <c r="Z349" s="16"/>
      <c r="AA349" s="16"/>
      <c r="AB349" s="16"/>
      <c r="AC349" s="16"/>
      <c r="AD349" s="16"/>
      <c r="AE349" s="16"/>
      <c r="AF349" s="16"/>
      <c r="AG349" s="16"/>
      <c r="AH349" s="16"/>
      <c r="AI349" s="16"/>
      <c r="AJ349" s="16"/>
      <c r="AK349" s="16"/>
      <c r="AL349" s="16"/>
      <c r="AM349" s="16"/>
      <c r="AN349" s="16"/>
      <c r="AO349" s="16"/>
      <c r="AP349" s="16"/>
      <c r="AQ349" s="16"/>
      <c r="AR349" s="16"/>
      <c r="AS349" s="16"/>
      <c r="AT349" s="16"/>
    </row>
    <row r="350" spans="6:46" x14ac:dyDescent="0.3">
      <c r="P350" s="16"/>
      <c r="Q350" s="16"/>
      <c r="R350" s="16"/>
      <c r="S350" s="16"/>
      <c r="T350" s="16"/>
      <c r="U350" s="16"/>
      <c r="V350" s="16"/>
      <c r="W350" s="16"/>
      <c r="X350" s="16"/>
      <c r="Y350" s="16"/>
      <c r="Z350" s="16"/>
      <c r="AA350" s="16"/>
      <c r="AB350" s="16"/>
      <c r="AC350" s="16"/>
      <c r="AD350" s="16"/>
      <c r="AE350" s="16"/>
      <c r="AF350" s="16"/>
      <c r="AG350" s="16"/>
      <c r="AH350" s="16"/>
      <c r="AI350" s="16"/>
      <c r="AJ350" s="16"/>
      <c r="AK350" s="16"/>
      <c r="AL350" s="16"/>
      <c r="AM350" s="16"/>
      <c r="AN350" s="16"/>
      <c r="AO350" s="16"/>
      <c r="AP350" s="16"/>
      <c r="AQ350" s="16"/>
      <c r="AR350" s="16"/>
      <c r="AS350" s="16"/>
      <c r="AT350" s="16"/>
    </row>
    <row r="351" spans="6:46" x14ac:dyDescent="0.3">
      <c r="P351" s="16"/>
      <c r="Q351" s="16"/>
      <c r="R351" s="16"/>
      <c r="S351" s="16"/>
      <c r="T351" s="16"/>
      <c r="U351" s="16"/>
      <c r="V351" s="16"/>
      <c r="W351" s="16"/>
      <c r="X351" s="16"/>
      <c r="Y351" s="16"/>
      <c r="Z351" s="16"/>
      <c r="AA351" s="16"/>
      <c r="AB351" s="16"/>
      <c r="AC351" s="16"/>
      <c r="AD351" s="16"/>
      <c r="AE351" s="16"/>
      <c r="AF351" s="16"/>
      <c r="AG351" s="16"/>
      <c r="AH351" s="16"/>
      <c r="AI351" s="16"/>
      <c r="AJ351" s="16"/>
      <c r="AK351" s="16"/>
      <c r="AL351" s="16"/>
      <c r="AM351" s="16"/>
      <c r="AN351" s="16"/>
      <c r="AO351" s="16"/>
      <c r="AP351" s="16"/>
      <c r="AQ351" s="16"/>
      <c r="AR351" s="16"/>
      <c r="AS351" s="16"/>
      <c r="AT351" s="16"/>
    </row>
    <row r="352" spans="6:46" x14ac:dyDescent="0.3">
      <c r="P352" s="16"/>
      <c r="Q352" s="16"/>
      <c r="R352" s="16"/>
      <c r="S352" s="16"/>
      <c r="T352" s="16"/>
      <c r="U352" s="16"/>
      <c r="V352" s="16"/>
      <c r="W352" s="16"/>
      <c r="X352" s="16"/>
      <c r="Y352" s="16"/>
      <c r="Z352" s="16"/>
      <c r="AA352" s="16"/>
      <c r="AB352" s="16"/>
      <c r="AC352" s="16"/>
      <c r="AD352" s="16"/>
      <c r="AE352" s="16"/>
      <c r="AF352" s="16"/>
      <c r="AG352" s="16"/>
      <c r="AH352" s="16"/>
      <c r="AI352" s="16"/>
      <c r="AJ352" s="16"/>
      <c r="AK352" s="16"/>
      <c r="AL352" s="16"/>
      <c r="AM352" s="16"/>
      <c r="AN352" s="16"/>
      <c r="AO352" s="16"/>
      <c r="AP352" s="16"/>
      <c r="AQ352" s="16"/>
      <c r="AR352" s="16"/>
      <c r="AS352" s="16"/>
      <c r="AT352" s="16"/>
    </row>
    <row r="353" spans="16:46" x14ac:dyDescent="0.3">
      <c r="P353" s="16"/>
      <c r="Q353" s="16"/>
      <c r="R353" s="16"/>
      <c r="S353" s="16"/>
      <c r="T353" s="16"/>
      <c r="U353" s="16"/>
      <c r="V353" s="16"/>
      <c r="W353" s="16"/>
      <c r="X353" s="16"/>
      <c r="Y353" s="16"/>
      <c r="Z353" s="16"/>
      <c r="AA353" s="16"/>
      <c r="AB353" s="16"/>
      <c r="AC353" s="16"/>
      <c r="AD353" s="16"/>
      <c r="AE353" s="16"/>
      <c r="AF353" s="16"/>
      <c r="AG353" s="16"/>
      <c r="AH353" s="16"/>
      <c r="AI353" s="16"/>
      <c r="AJ353" s="16"/>
      <c r="AK353" s="16"/>
      <c r="AL353" s="16"/>
      <c r="AM353" s="16"/>
      <c r="AN353" s="16"/>
      <c r="AO353" s="16"/>
      <c r="AP353" s="16"/>
      <c r="AQ353" s="16"/>
      <c r="AR353" s="16"/>
      <c r="AS353" s="16"/>
      <c r="AT353" s="16"/>
    </row>
    <row r="354" spans="16:46" x14ac:dyDescent="0.3">
      <c r="P354" s="16"/>
      <c r="Q354" s="16"/>
      <c r="R354" s="16"/>
      <c r="S354" s="16"/>
      <c r="T354" s="16"/>
      <c r="U354" s="16"/>
      <c r="V354" s="16"/>
      <c r="W354" s="16"/>
      <c r="X354" s="16"/>
      <c r="Y354" s="16"/>
      <c r="Z354" s="16"/>
      <c r="AA354" s="16"/>
      <c r="AB354" s="16"/>
      <c r="AC354" s="16"/>
      <c r="AD354" s="16"/>
      <c r="AE354" s="16"/>
      <c r="AF354" s="16"/>
      <c r="AG354" s="16"/>
      <c r="AH354" s="16"/>
      <c r="AI354" s="16"/>
      <c r="AJ354" s="16"/>
      <c r="AK354" s="16"/>
      <c r="AL354" s="16"/>
      <c r="AM354" s="16"/>
      <c r="AN354" s="16"/>
      <c r="AO354" s="16"/>
      <c r="AP354" s="16"/>
      <c r="AQ354" s="16"/>
      <c r="AR354" s="16"/>
      <c r="AS354" s="16"/>
      <c r="AT354" s="16"/>
    </row>
    <row r="355" spans="16:46" x14ac:dyDescent="0.3">
      <c r="P355" s="16"/>
      <c r="Q355" s="16"/>
      <c r="R355" s="16"/>
      <c r="S355" s="16"/>
      <c r="T355" s="16"/>
      <c r="U355" s="16"/>
      <c r="V355" s="16"/>
      <c r="W355" s="16"/>
      <c r="X355" s="16"/>
      <c r="Y355" s="16"/>
      <c r="Z355" s="16"/>
      <c r="AA355" s="16"/>
      <c r="AB355" s="16"/>
      <c r="AC355" s="16"/>
      <c r="AD355" s="16"/>
      <c r="AE355" s="16"/>
      <c r="AF355" s="16"/>
      <c r="AG355" s="16"/>
      <c r="AH355" s="16"/>
      <c r="AI355" s="16"/>
      <c r="AJ355" s="16"/>
      <c r="AK355" s="16"/>
      <c r="AL355" s="16"/>
      <c r="AM355" s="16"/>
      <c r="AN355" s="16"/>
      <c r="AO355" s="16"/>
      <c r="AP355" s="16"/>
      <c r="AQ355" s="16"/>
      <c r="AR355" s="16"/>
      <c r="AS355" s="16"/>
      <c r="AT355" s="16"/>
    </row>
    <row r="356" spans="16:46" x14ac:dyDescent="0.3">
      <c r="P356" s="16"/>
      <c r="Q356" s="16"/>
      <c r="R356" s="16"/>
      <c r="S356" s="16"/>
      <c r="T356" s="16"/>
      <c r="U356" s="16"/>
      <c r="V356" s="16"/>
      <c r="W356" s="16"/>
      <c r="X356" s="16"/>
      <c r="Y356" s="16"/>
      <c r="Z356" s="16"/>
      <c r="AA356" s="16"/>
      <c r="AB356" s="16"/>
      <c r="AC356" s="16"/>
      <c r="AD356" s="16"/>
      <c r="AE356" s="16"/>
      <c r="AF356" s="16"/>
      <c r="AG356" s="16"/>
      <c r="AH356" s="16"/>
      <c r="AI356" s="16"/>
      <c r="AJ356" s="16"/>
      <c r="AK356" s="16"/>
      <c r="AL356" s="16"/>
      <c r="AM356" s="16"/>
      <c r="AN356" s="16"/>
      <c r="AO356" s="16"/>
      <c r="AP356" s="16"/>
      <c r="AQ356" s="16"/>
      <c r="AR356" s="16"/>
      <c r="AS356" s="16"/>
      <c r="AT356" s="16"/>
    </row>
    <row r="357" spans="16:46" x14ac:dyDescent="0.3">
      <c r="P357" s="16"/>
      <c r="Q357" s="16"/>
      <c r="R357" s="16"/>
      <c r="S357" s="16"/>
      <c r="T357" s="16"/>
      <c r="U357" s="16"/>
      <c r="V357" s="16"/>
      <c r="W357" s="16"/>
      <c r="X357" s="16"/>
      <c r="Y357" s="16"/>
      <c r="Z357" s="16"/>
      <c r="AA357" s="16"/>
      <c r="AB357" s="16"/>
      <c r="AC357" s="16"/>
      <c r="AD357" s="16"/>
      <c r="AE357" s="16"/>
      <c r="AF357" s="16"/>
      <c r="AG357" s="16"/>
      <c r="AH357" s="16"/>
      <c r="AI357" s="16"/>
      <c r="AJ357" s="16"/>
      <c r="AK357" s="16"/>
      <c r="AL357" s="16"/>
      <c r="AM357" s="16"/>
      <c r="AN357" s="16"/>
      <c r="AO357" s="16"/>
      <c r="AP357" s="16"/>
      <c r="AQ357" s="16"/>
      <c r="AR357" s="16"/>
      <c r="AS357" s="16"/>
      <c r="AT357" s="16"/>
    </row>
    <row r="358" spans="16:46" x14ac:dyDescent="0.3">
      <c r="P358" s="16"/>
      <c r="Q358" s="16"/>
      <c r="R358" s="16"/>
      <c r="S358" s="16"/>
      <c r="T358" s="16"/>
      <c r="U358" s="16"/>
      <c r="V358" s="16"/>
      <c r="W358" s="16"/>
      <c r="X358" s="16"/>
      <c r="Y358" s="16"/>
      <c r="Z358" s="16"/>
      <c r="AA358" s="16"/>
      <c r="AB358" s="16"/>
      <c r="AC358" s="16"/>
      <c r="AD358" s="16"/>
      <c r="AE358" s="16"/>
      <c r="AF358" s="16"/>
      <c r="AG358" s="16"/>
      <c r="AH358" s="16"/>
      <c r="AI358" s="16"/>
      <c r="AJ358" s="16"/>
      <c r="AK358" s="16"/>
      <c r="AL358" s="16"/>
      <c r="AM358" s="16"/>
      <c r="AN358" s="16"/>
      <c r="AO358" s="16"/>
      <c r="AP358" s="16"/>
      <c r="AQ358" s="16"/>
      <c r="AR358" s="16"/>
      <c r="AS358" s="16"/>
      <c r="AT358" s="16"/>
    </row>
  </sheetData>
  <mergeCells count="3">
    <mergeCell ref="L6:Q6"/>
    <mergeCell ref="C8:D8"/>
    <mergeCell ref="F6:J6"/>
  </mergeCells>
  <dataValidations disablePrompts="1" count="1">
    <dataValidation type="list" allowBlank="1" showInputMessage="1" showErrorMessage="1" sqref="D6" xr:uid="{00000000-0002-0000-0300-000000000000}">
      <formula1>Month</formula1>
    </dataValidation>
  </dataValidations>
  <pageMargins left="0.7" right="0.7" top="0.75" bottom="0.75" header="0.3" footer="0.3"/>
  <pageSetup paperSize="8" orientation="portrait" r:id="rId1"/>
  <headerFooter>
    <oddHeader>&amp;L&amp;"System Font,Regular"&amp;10&amp;K000000&amp;F&amp;R&amp;N</oddHeader>
    <oddFooter>&amp;C&amp;"Arial (Body)</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zoomScale="90" zoomScaleNormal="90" workbookViewId="0">
      <selection activeCell="O38" sqref="O38"/>
    </sheetView>
  </sheetViews>
  <sheetFormatPr defaultColWidth="9.09765625" defaultRowHeight="12.5" x14ac:dyDescent="0.25"/>
  <cols>
    <col min="1" max="16384" width="9.09765625" style="1"/>
  </cols>
  <sheetData/>
  <pageMargins left="0.75" right="0.75" top="1" bottom="1" header="0.5" footer="0.5"/>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Q39"/>
  <sheetViews>
    <sheetView showGridLines="0" zoomScale="110" zoomScaleNormal="110" workbookViewId="0">
      <selection activeCell="I32" sqref="I32"/>
    </sheetView>
  </sheetViews>
  <sheetFormatPr defaultRowHeight="12.5" x14ac:dyDescent="0.25"/>
  <cols>
    <col min="1" max="1" width="8.69921875" style="2" customWidth="1"/>
    <col min="2" max="2" width="10" style="2" customWidth="1"/>
    <col min="3" max="3" width="19.69921875" style="2" customWidth="1"/>
    <col min="4" max="4" width="17.69921875" style="2" customWidth="1"/>
    <col min="5" max="5" width="19.8984375" style="2" customWidth="1"/>
    <col min="6" max="7" width="17.09765625" style="2" customWidth="1"/>
    <col min="8" max="11" width="9.09765625" style="2"/>
    <col min="12" max="12" width="16.09765625" style="2" customWidth="1"/>
    <col min="13" max="256" width="9.09765625" style="2"/>
    <col min="257" max="257" width="8.69921875" style="2" customWidth="1"/>
    <col min="258" max="259" width="9.09765625" style="2"/>
    <col min="260" max="260" width="12.296875" style="2" bestFit="1" customWidth="1"/>
    <col min="261" max="261" width="11.09765625" style="2" bestFit="1" customWidth="1"/>
    <col min="262" max="512" width="9.09765625" style="2"/>
    <col min="513" max="513" width="8.69921875" style="2" customWidth="1"/>
    <col min="514" max="515" width="9.09765625" style="2"/>
    <col min="516" max="516" width="12.296875" style="2" bestFit="1" customWidth="1"/>
    <col min="517" max="517" width="11.09765625" style="2" bestFit="1" customWidth="1"/>
    <col min="518" max="768" width="9.09765625" style="2"/>
    <col min="769" max="769" width="8.69921875" style="2" customWidth="1"/>
    <col min="770" max="771" width="9.09765625" style="2"/>
    <col min="772" max="772" width="12.296875" style="2" bestFit="1" customWidth="1"/>
    <col min="773" max="773" width="11.09765625" style="2" bestFit="1" customWidth="1"/>
    <col min="774" max="1024" width="9.09765625" style="2"/>
    <col min="1025" max="1025" width="8.69921875" style="2" customWidth="1"/>
    <col min="1026" max="1027" width="9.09765625" style="2"/>
    <col min="1028" max="1028" width="12.296875" style="2" bestFit="1" customWidth="1"/>
    <col min="1029" max="1029" width="11.09765625" style="2" bestFit="1" customWidth="1"/>
    <col min="1030" max="1280" width="9.09765625" style="2"/>
    <col min="1281" max="1281" width="8.69921875" style="2" customWidth="1"/>
    <col min="1282" max="1283" width="9.09765625" style="2"/>
    <col min="1284" max="1284" width="12.296875" style="2" bestFit="1" customWidth="1"/>
    <col min="1285" max="1285" width="11.09765625" style="2" bestFit="1" customWidth="1"/>
    <col min="1286" max="1536" width="9.09765625" style="2"/>
    <col min="1537" max="1537" width="8.69921875" style="2" customWidth="1"/>
    <col min="1538" max="1539" width="9.09765625" style="2"/>
    <col min="1540" max="1540" width="12.296875" style="2" bestFit="1" customWidth="1"/>
    <col min="1541" max="1541" width="11.09765625" style="2" bestFit="1" customWidth="1"/>
    <col min="1542" max="1792" width="9.09765625" style="2"/>
    <col min="1793" max="1793" width="8.69921875" style="2" customWidth="1"/>
    <col min="1794" max="1795" width="9.09765625" style="2"/>
    <col min="1796" max="1796" width="12.296875" style="2" bestFit="1" customWidth="1"/>
    <col min="1797" max="1797" width="11.09765625" style="2" bestFit="1" customWidth="1"/>
    <col min="1798" max="2048" width="9.09765625" style="2"/>
    <col min="2049" max="2049" width="8.69921875" style="2" customWidth="1"/>
    <col min="2050" max="2051" width="9.09765625" style="2"/>
    <col min="2052" max="2052" width="12.296875" style="2" bestFit="1" customWidth="1"/>
    <col min="2053" max="2053" width="11.09765625" style="2" bestFit="1" customWidth="1"/>
    <col min="2054" max="2304" width="9.09765625" style="2"/>
    <col min="2305" max="2305" width="8.69921875" style="2" customWidth="1"/>
    <col min="2306" max="2307" width="9.09765625" style="2"/>
    <col min="2308" max="2308" width="12.296875" style="2" bestFit="1" customWidth="1"/>
    <col min="2309" max="2309" width="11.09765625" style="2" bestFit="1" customWidth="1"/>
    <col min="2310" max="2560" width="9.09765625" style="2"/>
    <col min="2561" max="2561" width="8.69921875" style="2" customWidth="1"/>
    <col min="2562" max="2563" width="9.09765625" style="2"/>
    <col min="2564" max="2564" width="12.296875" style="2" bestFit="1" customWidth="1"/>
    <col min="2565" max="2565" width="11.09765625" style="2" bestFit="1" customWidth="1"/>
    <col min="2566" max="2816" width="9.09765625" style="2"/>
    <col min="2817" max="2817" width="8.69921875" style="2" customWidth="1"/>
    <col min="2818" max="2819" width="9.09765625" style="2"/>
    <col min="2820" max="2820" width="12.296875" style="2" bestFit="1" customWidth="1"/>
    <col min="2821" max="2821" width="11.09765625" style="2" bestFit="1" customWidth="1"/>
    <col min="2822" max="3072" width="9.09765625" style="2"/>
    <col min="3073" max="3073" width="8.69921875" style="2" customWidth="1"/>
    <col min="3074" max="3075" width="9.09765625" style="2"/>
    <col min="3076" max="3076" width="12.296875" style="2" bestFit="1" customWidth="1"/>
    <col min="3077" max="3077" width="11.09765625" style="2" bestFit="1" customWidth="1"/>
    <col min="3078" max="3328" width="9.09765625" style="2"/>
    <col min="3329" max="3329" width="8.69921875" style="2" customWidth="1"/>
    <col min="3330" max="3331" width="9.09765625" style="2"/>
    <col min="3332" max="3332" width="12.296875" style="2" bestFit="1" customWidth="1"/>
    <col min="3333" max="3333" width="11.09765625" style="2" bestFit="1" customWidth="1"/>
    <col min="3334" max="3584" width="9.09765625" style="2"/>
    <col min="3585" max="3585" width="8.69921875" style="2" customWidth="1"/>
    <col min="3586" max="3587" width="9.09765625" style="2"/>
    <col min="3588" max="3588" width="12.296875" style="2" bestFit="1" customWidth="1"/>
    <col min="3589" max="3589" width="11.09765625" style="2" bestFit="1" customWidth="1"/>
    <col min="3590" max="3840" width="9.09765625" style="2"/>
    <col min="3841" max="3841" width="8.69921875" style="2" customWidth="1"/>
    <col min="3842" max="3843" width="9.09765625" style="2"/>
    <col min="3844" max="3844" width="12.296875" style="2" bestFit="1" customWidth="1"/>
    <col min="3845" max="3845" width="11.09765625" style="2" bestFit="1" customWidth="1"/>
    <col min="3846" max="4096" width="9.09765625" style="2"/>
    <col min="4097" max="4097" width="8.69921875" style="2" customWidth="1"/>
    <col min="4098" max="4099" width="9.09765625" style="2"/>
    <col min="4100" max="4100" width="12.296875" style="2" bestFit="1" customWidth="1"/>
    <col min="4101" max="4101" width="11.09765625" style="2" bestFit="1" customWidth="1"/>
    <col min="4102" max="4352" width="9.09765625" style="2"/>
    <col min="4353" max="4353" width="8.69921875" style="2" customWidth="1"/>
    <col min="4354" max="4355" width="9.09765625" style="2"/>
    <col min="4356" max="4356" width="12.296875" style="2" bestFit="1" customWidth="1"/>
    <col min="4357" max="4357" width="11.09765625" style="2" bestFit="1" customWidth="1"/>
    <col min="4358" max="4608" width="9.09765625" style="2"/>
    <col min="4609" max="4609" width="8.69921875" style="2" customWidth="1"/>
    <col min="4610" max="4611" width="9.09765625" style="2"/>
    <col min="4612" max="4612" width="12.296875" style="2" bestFit="1" customWidth="1"/>
    <col min="4613" max="4613" width="11.09765625" style="2" bestFit="1" customWidth="1"/>
    <col min="4614" max="4864" width="9.09765625" style="2"/>
    <col min="4865" max="4865" width="8.69921875" style="2" customWidth="1"/>
    <col min="4866" max="4867" width="9.09765625" style="2"/>
    <col min="4868" max="4868" width="12.296875" style="2" bestFit="1" customWidth="1"/>
    <col min="4869" max="4869" width="11.09765625" style="2" bestFit="1" customWidth="1"/>
    <col min="4870" max="5120" width="9.09765625" style="2"/>
    <col min="5121" max="5121" width="8.69921875" style="2" customWidth="1"/>
    <col min="5122" max="5123" width="9.09765625" style="2"/>
    <col min="5124" max="5124" width="12.296875" style="2" bestFit="1" customWidth="1"/>
    <col min="5125" max="5125" width="11.09765625" style="2" bestFit="1" customWidth="1"/>
    <col min="5126" max="5376" width="9.09765625" style="2"/>
    <col min="5377" max="5377" width="8.69921875" style="2" customWidth="1"/>
    <col min="5378" max="5379" width="9.09765625" style="2"/>
    <col min="5380" max="5380" width="12.296875" style="2" bestFit="1" customWidth="1"/>
    <col min="5381" max="5381" width="11.09765625" style="2" bestFit="1" customWidth="1"/>
    <col min="5382" max="5632" width="9.09765625" style="2"/>
    <col min="5633" max="5633" width="8.69921875" style="2" customWidth="1"/>
    <col min="5634" max="5635" width="9.09765625" style="2"/>
    <col min="5636" max="5636" width="12.296875" style="2" bestFit="1" customWidth="1"/>
    <col min="5637" max="5637" width="11.09765625" style="2" bestFit="1" customWidth="1"/>
    <col min="5638" max="5888" width="9.09765625" style="2"/>
    <col min="5889" max="5889" width="8.69921875" style="2" customWidth="1"/>
    <col min="5890" max="5891" width="9.09765625" style="2"/>
    <col min="5892" max="5892" width="12.296875" style="2" bestFit="1" customWidth="1"/>
    <col min="5893" max="5893" width="11.09765625" style="2" bestFit="1" customWidth="1"/>
    <col min="5894" max="6144" width="9.09765625" style="2"/>
    <col min="6145" max="6145" width="8.69921875" style="2" customWidth="1"/>
    <col min="6146" max="6147" width="9.09765625" style="2"/>
    <col min="6148" max="6148" width="12.296875" style="2" bestFit="1" customWidth="1"/>
    <col min="6149" max="6149" width="11.09765625" style="2" bestFit="1" customWidth="1"/>
    <col min="6150" max="6400" width="9.09765625" style="2"/>
    <col min="6401" max="6401" width="8.69921875" style="2" customWidth="1"/>
    <col min="6402" max="6403" width="9.09765625" style="2"/>
    <col min="6404" max="6404" width="12.296875" style="2" bestFit="1" customWidth="1"/>
    <col min="6405" max="6405" width="11.09765625" style="2" bestFit="1" customWidth="1"/>
    <col min="6406" max="6656" width="9.09765625" style="2"/>
    <col min="6657" max="6657" width="8.69921875" style="2" customWidth="1"/>
    <col min="6658" max="6659" width="9.09765625" style="2"/>
    <col min="6660" max="6660" width="12.296875" style="2" bestFit="1" customWidth="1"/>
    <col min="6661" max="6661" width="11.09765625" style="2" bestFit="1" customWidth="1"/>
    <col min="6662" max="6912" width="9.09765625" style="2"/>
    <col min="6913" max="6913" width="8.69921875" style="2" customWidth="1"/>
    <col min="6914" max="6915" width="9.09765625" style="2"/>
    <col min="6916" max="6916" width="12.296875" style="2" bestFit="1" customWidth="1"/>
    <col min="6917" max="6917" width="11.09765625" style="2" bestFit="1" customWidth="1"/>
    <col min="6918" max="7168" width="9.09765625" style="2"/>
    <col min="7169" max="7169" width="8.69921875" style="2" customWidth="1"/>
    <col min="7170" max="7171" width="9.09765625" style="2"/>
    <col min="7172" max="7172" width="12.296875" style="2" bestFit="1" customWidth="1"/>
    <col min="7173" max="7173" width="11.09765625" style="2" bestFit="1" customWidth="1"/>
    <col min="7174" max="7424" width="9.09765625" style="2"/>
    <col min="7425" max="7425" width="8.69921875" style="2" customWidth="1"/>
    <col min="7426" max="7427" width="9.09765625" style="2"/>
    <col min="7428" max="7428" width="12.296875" style="2" bestFit="1" customWidth="1"/>
    <col min="7429" max="7429" width="11.09765625" style="2" bestFit="1" customWidth="1"/>
    <col min="7430" max="7680" width="9.09765625" style="2"/>
    <col min="7681" max="7681" width="8.69921875" style="2" customWidth="1"/>
    <col min="7682" max="7683" width="9.09765625" style="2"/>
    <col min="7684" max="7684" width="12.296875" style="2" bestFit="1" customWidth="1"/>
    <col min="7685" max="7685" width="11.09765625" style="2" bestFit="1" customWidth="1"/>
    <col min="7686" max="7936" width="9.09765625" style="2"/>
    <col min="7937" max="7937" width="8.69921875" style="2" customWidth="1"/>
    <col min="7938" max="7939" width="9.09765625" style="2"/>
    <col min="7940" max="7940" width="12.296875" style="2" bestFit="1" customWidth="1"/>
    <col min="7941" max="7941" width="11.09765625" style="2" bestFit="1" customWidth="1"/>
    <col min="7942" max="8192" width="9.09765625" style="2"/>
    <col min="8193" max="8193" width="8.69921875" style="2" customWidth="1"/>
    <col min="8194" max="8195" width="9.09765625" style="2"/>
    <col min="8196" max="8196" width="12.296875" style="2" bestFit="1" customWidth="1"/>
    <col min="8197" max="8197" width="11.09765625" style="2" bestFit="1" customWidth="1"/>
    <col min="8198" max="8448" width="9.09765625" style="2"/>
    <col min="8449" max="8449" width="8.69921875" style="2" customWidth="1"/>
    <col min="8450" max="8451" width="9.09765625" style="2"/>
    <col min="8452" max="8452" width="12.296875" style="2" bestFit="1" customWidth="1"/>
    <col min="8453" max="8453" width="11.09765625" style="2" bestFit="1" customWidth="1"/>
    <col min="8454" max="8704" width="9.09765625" style="2"/>
    <col min="8705" max="8705" width="8.69921875" style="2" customWidth="1"/>
    <col min="8706" max="8707" width="9.09765625" style="2"/>
    <col min="8708" max="8708" width="12.296875" style="2" bestFit="1" customWidth="1"/>
    <col min="8709" max="8709" width="11.09765625" style="2" bestFit="1" customWidth="1"/>
    <col min="8710" max="8960" width="9.09765625" style="2"/>
    <col min="8961" max="8961" width="8.69921875" style="2" customWidth="1"/>
    <col min="8962" max="8963" width="9.09765625" style="2"/>
    <col min="8964" max="8964" width="12.296875" style="2" bestFit="1" customWidth="1"/>
    <col min="8965" max="8965" width="11.09765625" style="2" bestFit="1" customWidth="1"/>
    <col min="8966" max="9216" width="9.09765625" style="2"/>
    <col min="9217" max="9217" width="8.69921875" style="2" customWidth="1"/>
    <col min="9218" max="9219" width="9.09765625" style="2"/>
    <col min="9220" max="9220" width="12.296875" style="2" bestFit="1" customWidth="1"/>
    <col min="9221" max="9221" width="11.09765625" style="2" bestFit="1" customWidth="1"/>
    <col min="9222" max="9472" width="9.09765625" style="2"/>
    <col min="9473" max="9473" width="8.69921875" style="2" customWidth="1"/>
    <col min="9474" max="9475" width="9.09765625" style="2"/>
    <col min="9476" max="9476" width="12.296875" style="2" bestFit="1" customWidth="1"/>
    <col min="9477" max="9477" width="11.09765625" style="2" bestFit="1" customWidth="1"/>
    <col min="9478" max="9728" width="9.09765625" style="2"/>
    <col min="9729" max="9729" width="8.69921875" style="2" customWidth="1"/>
    <col min="9730" max="9731" width="9.09765625" style="2"/>
    <col min="9732" max="9732" width="12.296875" style="2" bestFit="1" customWidth="1"/>
    <col min="9733" max="9733" width="11.09765625" style="2" bestFit="1" customWidth="1"/>
    <col min="9734" max="9984" width="9.09765625" style="2"/>
    <col min="9985" max="9985" width="8.69921875" style="2" customWidth="1"/>
    <col min="9986" max="9987" width="9.09765625" style="2"/>
    <col min="9988" max="9988" width="12.296875" style="2" bestFit="1" customWidth="1"/>
    <col min="9989" max="9989" width="11.09765625" style="2" bestFit="1" customWidth="1"/>
    <col min="9990" max="10240" width="9.09765625" style="2"/>
    <col min="10241" max="10241" width="8.69921875" style="2" customWidth="1"/>
    <col min="10242" max="10243" width="9.09765625" style="2"/>
    <col min="10244" max="10244" width="12.296875" style="2" bestFit="1" customWidth="1"/>
    <col min="10245" max="10245" width="11.09765625" style="2" bestFit="1" customWidth="1"/>
    <col min="10246" max="10496" width="9.09765625" style="2"/>
    <col min="10497" max="10497" width="8.69921875" style="2" customWidth="1"/>
    <col min="10498" max="10499" width="9.09765625" style="2"/>
    <col min="10500" max="10500" width="12.296875" style="2" bestFit="1" customWidth="1"/>
    <col min="10501" max="10501" width="11.09765625" style="2" bestFit="1" customWidth="1"/>
    <col min="10502" max="10752" width="9.09765625" style="2"/>
    <col min="10753" max="10753" width="8.69921875" style="2" customWidth="1"/>
    <col min="10754" max="10755" width="9.09765625" style="2"/>
    <col min="10756" max="10756" width="12.296875" style="2" bestFit="1" customWidth="1"/>
    <col min="10757" max="10757" width="11.09765625" style="2" bestFit="1" customWidth="1"/>
    <col min="10758" max="11008" width="9.09765625" style="2"/>
    <col min="11009" max="11009" width="8.69921875" style="2" customWidth="1"/>
    <col min="11010" max="11011" width="9.09765625" style="2"/>
    <col min="11012" max="11012" width="12.296875" style="2" bestFit="1" customWidth="1"/>
    <col min="11013" max="11013" width="11.09765625" style="2" bestFit="1" customWidth="1"/>
    <col min="11014" max="11264" width="9.09765625" style="2"/>
    <col min="11265" max="11265" width="8.69921875" style="2" customWidth="1"/>
    <col min="11266" max="11267" width="9.09765625" style="2"/>
    <col min="11268" max="11268" width="12.296875" style="2" bestFit="1" customWidth="1"/>
    <col min="11269" max="11269" width="11.09765625" style="2" bestFit="1" customWidth="1"/>
    <col min="11270" max="11520" width="9.09765625" style="2"/>
    <col min="11521" max="11521" width="8.69921875" style="2" customWidth="1"/>
    <col min="11522" max="11523" width="9.09765625" style="2"/>
    <col min="11524" max="11524" width="12.296875" style="2" bestFit="1" customWidth="1"/>
    <col min="11525" max="11525" width="11.09765625" style="2" bestFit="1" customWidth="1"/>
    <col min="11526" max="11776" width="9.09765625" style="2"/>
    <col min="11777" max="11777" width="8.69921875" style="2" customWidth="1"/>
    <col min="11778" max="11779" width="9.09765625" style="2"/>
    <col min="11780" max="11780" width="12.296875" style="2" bestFit="1" customWidth="1"/>
    <col min="11781" max="11781" width="11.09765625" style="2" bestFit="1" customWidth="1"/>
    <col min="11782" max="12032" width="9.09765625" style="2"/>
    <col min="12033" max="12033" width="8.69921875" style="2" customWidth="1"/>
    <col min="12034" max="12035" width="9.09765625" style="2"/>
    <col min="12036" max="12036" width="12.296875" style="2" bestFit="1" customWidth="1"/>
    <col min="12037" max="12037" width="11.09765625" style="2" bestFit="1" customWidth="1"/>
    <col min="12038" max="12288" width="9.09765625" style="2"/>
    <col min="12289" max="12289" width="8.69921875" style="2" customWidth="1"/>
    <col min="12290" max="12291" width="9.09765625" style="2"/>
    <col min="12292" max="12292" width="12.296875" style="2" bestFit="1" customWidth="1"/>
    <col min="12293" max="12293" width="11.09765625" style="2" bestFit="1" customWidth="1"/>
    <col min="12294" max="12544" width="9.09765625" style="2"/>
    <col min="12545" max="12545" width="8.69921875" style="2" customWidth="1"/>
    <col min="12546" max="12547" width="9.09765625" style="2"/>
    <col min="12548" max="12548" width="12.296875" style="2" bestFit="1" customWidth="1"/>
    <col min="12549" max="12549" width="11.09765625" style="2" bestFit="1" customWidth="1"/>
    <col min="12550" max="12800" width="9.09765625" style="2"/>
    <col min="12801" max="12801" width="8.69921875" style="2" customWidth="1"/>
    <col min="12802" max="12803" width="9.09765625" style="2"/>
    <col min="12804" max="12804" width="12.296875" style="2" bestFit="1" customWidth="1"/>
    <col min="12805" max="12805" width="11.09765625" style="2" bestFit="1" customWidth="1"/>
    <col min="12806" max="13056" width="9.09765625" style="2"/>
    <col min="13057" max="13057" width="8.69921875" style="2" customWidth="1"/>
    <col min="13058" max="13059" width="9.09765625" style="2"/>
    <col min="13060" max="13060" width="12.296875" style="2" bestFit="1" customWidth="1"/>
    <col min="13061" max="13061" width="11.09765625" style="2" bestFit="1" customWidth="1"/>
    <col min="13062" max="13312" width="9.09765625" style="2"/>
    <col min="13313" max="13313" width="8.69921875" style="2" customWidth="1"/>
    <col min="13314" max="13315" width="9.09765625" style="2"/>
    <col min="13316" max="13316" width="12.296875" style="2" bestFit="1" customWidth="1"/>
    <col min="13317" max="13317" width="11.09765625" style="2" bestFit="1" customWidth="1"/>
    <col min="13318" max="13568" width="9.09765625" style="2"/>
    <col min="13569" max="13569" width="8.69921875" style="2" customWidth="1"/>
    <col min="13570" max="13571" width="9.09765625" style="2"/>
    <col min="13572" max="13572" width="12.296875" style="2" bestFit="1" customWidth="1"/>
    <col min="13573" max="13573" width="11.09765625" style="2" bestFit="1" customWidth="1"/>
    <col min="13574" max="13824" width="9.09765625" style="2"/>
    <col min="13825" max="13825" width="8.69921875" style="2" customWidth="1"/>
    <col min="13826" max="13827" width="9.09765625" style="2"/>
    <col min="13828" max="13828" width="12.296875" style="2" bestFit="1" customWidth="1"/>
    <col min="13829" max="13829" width="11.09765625" style="2" bestFit="1" customWidth="1"/>
    <col min="13830" max="14080" width="9.09765625" style="2"/>
    <col min="14081" max="14081" width="8.69921875" style="2" customWidth="1"/>
    <col min="14082" max="14083" width="9.09765625" style="2"/>
    <col min="14084" max="14084" width="12.296875" style="2" bestFit="1" customWidth="1"/>
    <col min="14085" max="14085" width="11.09765625" style="2" bestFit="1" customWidth="1"/>
    <col min="14086" max="14336" width="9.09765625" style="2"/>
    <col min="14337" max="14337" width="8.69921875" style="2" customWidth="1"/>
    <col min="14338" max="14339" width="9.09765625" style="2"/>
    <col min="14340" max="14340" width="12.296875" style="2" bestFit="1" customWidth="1"/>
    <col min="14341" max="14341" width="11.09765625" style="2" bestFit="1" customWidth="1"/>
    <col min="14342" max="14592" width="9.09765625" style="2"/>
    <col min="14593" max="14593" width="8.69921875" style="2" customWidth="1"/>
    <col min="14594" max="14595" width="9.09765625" style="2"/>
    <col min="14596" max="14596" width="12.296875" style="2" bestFit="1" customWidth="1"/>
    <col min="14597" max="14597" width="11.09765625" style="2" bestFit="1" customWidth="1"/>
    <col min="14598" max="14848" width="9.09765625" style="2"/>
    <col min="14849" max="14849" width="8.69921875" style="2" customWidth="1"/>
    <col min="14850" max="14851" width="9.09765625" style="2"/>
    <col min="14852" max="14852" width="12.296875" style="2" bestFit="1" customWidth="1"/>
    <col min="14853" max="14853" width="11.09765625" style="2" bestFit="1" customWidth="1"/>
    <col min="14854" max="15104" width="9.09765625" style="2"/>
    <col min="15105" max="15105" width="8.69921875" style="2" customWidth="1"/>
    <col min="15106" max="15107" width="9.09765625" style="2"/>
    <col min="15108" max="15108" width="12.296875" style="2" bestFit="1" customWidth="1"/>
    <col min="15109" max="15109" width="11.09765625" style="2" bestFit="1" customWidth="1"/>
    <col min="15110" max="15360" width="9.09765625" style="2"/>
    <col min="15361" max="15361" width="8.69921875" style="2" customWidth="1"/>
    <col min="15362" max="15363" width="9.09765625" style="2"/>
    <col min="15364" max="15364" width="12.296875" style="2" bestFit="1" customWidth="1"/>
    <col min="15365" max="15365" width="11.09765625" style="2" bestFit="1" customWidth="1"/>
    <col min="15366" max="15616" width="9.09765625" style="2"/>
    <col min="15617" max="15617" width="8.69921875" style="2" customWidth="1"/>
    <col min="15618" max="15619" width="9.09765625" style="2"/>
    <col min="15620" max="15620" width="12.296875" style="2" bestFit="1" customWidth="1"/>
    <col min="15621" max="15621" width="11.09765625" style="2" bestFit="1" customWidth="1"/>
    <col min="15622" max="15872" width="9.09765625" style="2"/>
    <col min="15873" max="15873" width="8.69921875" style="2" customWidth="1"/>
    <col min="15874" max="15875" width="9.09765625" style="2"/>
    <col min="15876" max="15876" width="12.296875" style="2" bestFit="1" customWidth="1"/>
    <col min="15877" max="15877" width="11.09765625" style="2" bestFit="1" customWidth="1"/>
    <col min="15878" max="16128" width="9.09765625" style="2"/>
    <col min="16129" max="16129" width="8.69921875" style="2" customWidth="1"/>
    <col min="16130" max="16131" width="9.09765625" style="2"/>
    <col min="16132" max="16132" width="12.296875" style="2" bestFit="1" customWidth="1"/>
    <col min="16133" max="16133" width="11.09765625" style="2" bestFit="1" customWidth="1"/>
    <col min="16134" max="16384" width="9.09765625" style="2"/>
  </cols>
  <sheetData>
    <row r="1" spans="1:17" ht="13" x14ac:dyDescent="0.3">
      <c r="A1" s="73"/>
    </row>
    <row r="2" spans="1:17" ht="15.5" x14ac:dyDescent="0.35">
      <c r="B2" s="103"/>
      <c r="C2" s="107" t="s">
        <v>47</v>
      </c>
      <c r="D2" s="107"/>
      <c r="E2" s="107"/>
      <c r="F2" s="44"/>
      <c r="G2" s="45" t="s">
        <v>10</v>
      </c>
    </row>
    <row r="3" spans="1:17" ht="15" customHeight="1" x14ac:dyDescent="0.25">
      <c r="B3" s="104"/>
      <c r="C3" s="46" t="s">
        <v>2</v>
      </c>
      <c r="D3" s="46" t="s">
        <v>5</v>
      </c>
      <c r="E3" s="80" t="s">
        <v>3</v>
      </c>
      <c r="F3" s="19" t="s">
        <v>45</v>
      </c>
      <c r="G3" s="47">
        <f>B4</f>
        <v>45717</v>
      </c>
    </row>
    <row r="4" spans="1:17" ht="15.5" x14ac:dyDescent="0.25">
      <c r="B4" s="48">
        <v>45717</v>
      </c>
      <c r="C4" s="49">
        <f>VLOOKUP($B4,'AMPE-MCVE'!$B:$K,8,FALSE)</f>
        <v>28.809045226130653</v>
      </c>
      <c r="D4" s="49">
        <f>VLOOKUP($B4,'AMPE-MCVE'!$B:$K,9,FALSE)</f>
        <v>0.66846758349705304</v>
      </c>
      <c r="E4" s="49">
        <f>VLOOKUP($B4,'AMPE-MCVE'!$B:$K,10,FALSE)</f>
        <v>13.183443396226416</v>
      </c>
      <c r="F4" s="50">
        <f>VLOOKUP($B4,'AMPE-MCVE'!$B:$D,2,FALSE)</f>
        <v>42.66095620585412</v>
      </c>
      <c r="G4" s="49"/>
      <c r="P4" s="78"/>
      <c r="Q4" s="78"/>
    </row>
    <row r="5" spans="1:17" ht="15.5" x14ac:dyDescent="0.25">
      <c r="B5" s="51">
        <f>EDATE(B4,-1)</f>
        <v>45689</v>
      </c>
      <c r="C5" s="52">
        <f>VLOOKUP($B5,'AMPE-MCVE'!$B:$K,8,FALSE)</f>
        <v>28.055276381909547</v>
      </c>
      <c r="D5" s="52">
        <f>VLOOKUP($B5,'AMPE-MCVE'!$B:$K,9,FALSE)</f>
        <v>0.67337917485265231</v>
      </c>
      <c r="E5" s="52">
        <f>VLOOKUP($B5,'AMPE-MCVE'!$B:$K,10,FALSE)</f>
        <v>13.266556603773585</v>
      </c>
      <c r="F5" s="53">
        <f>VLOOKUP($B5,'AMPE-MCVE'!$B:$D,2,FALSE)</f>
        <v>41.995212160535786</v>
      </c>
      <c r="G5" s="70">
        <f>($F$4-F5)/F5</f>
        <v>1.5852855863029897E-2</v>
      </c>
      <c r="P5" s="78"/>
      <c r="Q5" s="78"/>
    </row>
    <row r="6" spans="1:17" ht="15.5" x14ac:dyDescent="0.25">
      <c r="B6" s="54">
        <f>EDATE(B4,-12)</f>
        <v>45352</v>
      </c>
      <c r="C6" s="49">
        <f>VLOOKUP($B6,'AMPE-MCVE'!$B:$K,8,FALSE)</f>
        <v>22.653266331658291</v>
      </c>
      <c r="D6" s="49">
        <f>VLOOKUP($B6,'AMPE-MCVE'!$B:$K,9,FALSE)</f>
        <v>0.66748526522593321</v>
      </c>
      <c r="E6" s="49">
        <f>VLOOKUP($B6,'AMPE-MCVE'!$B:$K,10,FALSE)</f>
        <v>13.296886792452829</v>
      </c>
      <c r="F6" s="50">
        <f>VLOOKUP($B6,'AMPE-MCVE'!$B:$D,2,FALSE)</f>
        <v>36.617638389337053</v>
      </c>
      <c r="G6" s="55">
        <f>($F$4-F6)/F6</f>
        <v>0.16503843727608777</v>
      </c>
      <c r="P6" s="78"/>
      <c r="Q6" s="78"/>
    </row>
    <row r="7" spans="1:17" ht="15.5" x14ac:dyDescent="0.25">
      <c r="B7" s="56"/>
      <c r="C7" s="57"/>
      <c r="D7" s="57"/>
      <c r="E7" s="57"/>
      <c r="F7" s="58"/>
      <c r="G7" s="59"/>
      <c r="P7" s="78"/>
      <c r="Q7" s="78"/>
    </row>
    <row r="8" spans="1:17" ht="15.5" x14ac:dyDescent="0.35">
      <c r="B8" s="103"/>
      <c r="C8" s="102" t="s">
        <v>48</v>
      </c>
      <c r="D8" s="102"/>
      <c r="E8" s="102"/>
      <c r="F8" s="60"/>
      <c r="G8" s="45" t="s">
        <v>10</v>
      </c>
      <c r="P8" s="78"/>
      <c r="Q8" s="78"/>
    </row>
    <row r="9" spans="1:17" ht="15.5" x14ac:dyDescent="0.25">
      <c r="B9" s="104"/>
      <c r="C9" s="46" t="s">
        <v>7</v>
      </c>
      <c r="D9" s="46" t="s">
        <v>9</v>
      </c>
      <c r="E9" s="46" t="s">
        <v>8</v>
      </c>
      <c r="F9" s="19" t="s">
        <v>46</v>
      </c>
      <c r="G9" s="47">
        <f>B10</f>
        <v>45717</v>
      </c>
      <c r="P9" s="78"/>
      <c r="Q9" s="78"/>
    </row>
    <row r="10" spans="1:17" ht="15.5" x14ac:dyDescent="0.25">
      <c r="B10" s="48">
        <f>B4</f>
        <v>45717</v>
      </c>
      <c r="C10" s="49">
        <f>VLOOKUP($B10,'AMPE-MCVE'!$B:$R,15,FALSE)</f>
        <v>39.263736263736263</v>
      </c>
      <c r="D10" s="49">
        <f>VLOOKUP($B10,'AMPE-MCVE'!$B:$R,16,FALSE)</f>
        <v>2.1442243717692828</v>
      </c>
      <c r="E10" s="49">
        <f>VLOOKUP($B10,'AMPE-MCVE'!$B:$R,17,FALSE)</f>
        <v>2.6507317073170733</v>
      </c>
      <c r="F10" s="50">
        <f>VLOOKUP($B10,'AMPE-MCVE'!$B:$D,3,FALSE)</f>
        <v>44.058692342822617</v>
      </c>
      <c r="G10" s="49"/>
    </row>
    <row r="11" spans="1:17" ht="15.5" x14ac:dyDescent="0.25">
      <c r="B11" s="51">
        <f>B5</f>
        <v>45689</v>
      </c>
      <c r="C11" s="52">
        <f>VLOOKUP($B11,'AMPE-MCVE'!$B:$R,15,FALSE)</f>
        <v>38.604395604395606</v>
      </c>
      <c r="D11" s="52">
        <f>VLOOKUP($B11,'AMPE-MCVE'!$B:$R,16,FALSE)</f>
        <v>2.0641617788314157</v>
      </c>
      <c r="E11" s="52">
        <f>VLOOKUP($B11,'AMPE-MCVE'!$B:$R,17,FALSE)</f>
        <v>2.5775609756097562</v>
      </c>
      <c r="F11" s="53">
        <f>VLOOKUP($B11,'AMPE-MCVE'!$B:$D,3,FALSE)</f>
        <v>43.246118358836782</v>
      </c>
      <c r="G11" s="70">
        <f>($F$10-F11)/F11</f>
        <v>1.8789524119678512E-2</v>
      </c>
    </row>
    <row r="12" spans="1:17" ht="15.5" x14ac:dyDescent="0.25">
      <c r="B12" s="54">
        <f>B6</f>
        <v>45352</v>
      </c>
      <c r="C12" s="49">
        <f>VLOOKUP($B12,'AMPE-MCVE'!$B:$R,15,FALSE)</f>
        <v>33.373626373626372</v>
      </c>
      <c r="D12" s="49">
        <f>VLOOKUP($B12,'AMPE-MCVE'!$B:$R,16,FALSE)</f>
        <v>0.85611145901800534</v>
      </c>
      <c r="E12" s="49">
        <f>VLOOKUP($B12,'AMPE-MCVE'!$B:$R,17,FALSE)</f>
        <v>2.0526829268292683</v>
      </c>
      <c r="F12" s="50">
        <f>VLOOKUP($B12,'AMPE-MCVE'!$B:$D,3,FALSE)</f>
        <v>36.282420759473645</v>
      </c>
      <c r="G12" s="55">
        <f>($F$10-F12)/F12</f>
        <v>0.21432615080730308</v>
      </c>
    </row>
    <row r="13" spans="1:17" ht="15.5" x14ac:dyDescent="0.35">
      <c r="B13" s="61" t="s">
        <v>11</v>
      </c>
      <c r="C13" s="57"/>
      <c r="D13" s="62"/>
      <c r="E13" s="62"/>
      <c r="F13" s="62"/>
      <c r="G13" s="62"/>
    </row>
    <row r="16" spans="1:17" ht="13" hidden="1" x14ac:dyDescent="0.3">
      <c r="A16" s="73">
        <v>2014</v>
      </c>
      <c r="B16" s="86" t="s">
        <v>57</v>
      </c>
    </row>
    <row r="17" spans="2:7" ht="15.5" hidden="1" x14ac:dyDescent="0.35">
      <c r="B17" s="103"/>
      <c r="C17" s="102" t="s">
        <v>31</v>
      </c>
      <c r="D17" s="102"/>
      <c r="E17" s="102"/>
      <c r="F17" s="44"/>
      <c r="G17" s="45" t="s">
        <v>10</v>
      </c>
    </row>
    <row r="18" spans="2:7" ht="15.5" hidden="1" x14ac:dyDescent="0.25">
      <c r="B18" s="104"/>
      <c r="C18" s="46" t="s">
        <v>2</v>
      </c>
      <c r="D18" s="46" t="s">
        <v>5</v>
      </c>
      <c r="E18" s="46" t="s">
        <v>3</v>
      </c>
      <c r="F18" s="19" t="s">
        <v>28</v>
      </c>
      <c r="G18" s="47">
        <f>B19</f>
        <v>44562</v>
      </c>
    </row>
    <row r="19" spans="2:7" ht="15.5" hidden="1" x14ac:dyDescent="0.25">
      <c r="B19" s="48">
        <v>44562</v>
      </c>
      <c r="C19" s="49">
        <f>VLOOKUP($B$19,'AMPE-MCVE 2014'!$B$9:$H$269,7,FALSE)</f>
        <v>22.803729097814827</v>
      </c>
      <c r="D19" s="49">
        <f>VLOOKUP($B19,'AMPE-MCVE 2014'!$B$9:$I$269,8,FALSE)</f>
        <v>1.1274915036281803</v>
      </c>
      <c r="E19" s="49">
        <f>VLOOKUP($B19,'AMPE-MCVE 2014'!$B$9:$J$269,9,FALSE)</f>
        <v>23.134328358208954</v>
      </c>
      <c r="F19" s="50">
        <f>VLOOKUP($B19,'AMPE-MCVE 2014'!B9:C269,2,FALSE)</f>
        <v>47.065548959651963</v>
      </c>
      <c r="G19" s="49"/>
    </row>
    <row r="20" spans="2:7" ht="15.5" hidden="1" x14ac:dyDescent="0.25">
      <c r="B20" s="51">
        <f>EDATE(B19,-1)</f>
        <v>44531</v>
      </c>
      <c r="C20" s="52">
        <f>VLOOKUP($B$20,'AMPE-MCVE 2014'!$B$9:$H$269,7,FALSE)</f>
        <v>21.817195284368371</v>
      </c>
      <c r="D20" s="52">
        <f>VLOOKUP($B20,'AMPE-MCVE 2014'!$B$9:$I$269,8,FALSE)</f>
        <v>1.0540093689721686</v>
      </c>
      <c r="E20" s="52">
        <f>VLOOKUP($B20,'AMPE-MCVE 2014'!$B$9:$J$269,9,FALSE)</f>
        <v>21.64179104477612</v>
      </c>
      <c r="F20" s="53">
        <f>VLOOKUP($B20,'AMPE-MCVE 2014'!B10:C270,2,FALSE)</f>
        <v>44.512995698116654</v>
      </c>
      <c r="G20" s="70">
        <f>($F$19-F20)/F20</f>
        <v>5.7344000813751281E-2</v>
      </c>
    </row>
    <row r="21" spans="2:7" ht="15.5" hidden="1" x14ac:dyDescent="0.25">
      <c r="B21" s="54">
        <f>EDATE(B19,-12)</f>
        <v>44197</v>
      </c>
      <c r="C21" s="49">
        <f>VLOOKUP($B$21,'AMPE-MCVE 2014'!$B$9:$H$269,7,FALSE)</f>
        <v>13.924924776796725</v>
      </c>
      <c r="D21" s="49">
        <f>VLOOKUP($B21,'AMPE-MCVE 2014'!$B$9:$I$269,8,FALSE)</f>
        <v>0.72793239643611651</v>
      </c>
      <c r="E21" s="49">
        <f>VLOOKUP($B21,'AMPE-MCVE 2014'!$B$9:$J$269,9,FALSE)</f>
        <v>15.01865671641791</v>
      </c>
      <c r="F21" s="50">
        <f>VLOOKUP($B21,'AMPE-MCVE 2014'!B11:C271,2,FALSE)</f>
        <v>29.671513889650754</v>
      </c>
      <c r="G21" s="55">
        <f>($F$19-F21)/F21</f>
        <v>0.58622000665992791</v>
      </c>
    </row>
    <row r="22" spans="2:7" s="43" customFormat="1" ht="15.5" hidden="1" x14ac:dyDescent="0.25">
      <c r="B22" s="56"/>
      <c r="C22" s="57"/>
      <c r="D22" s="57"/>
      <c r="E22" s="57"/>
      <c r="F22" s="58"/>
      <c r="G22" s="59"/>
    </row>
    <row r="23" spans="2:7" ht="15.5" hidden="1" x14ac:dyDescent="0.35">
      <c r="B23" s="103"/>
      <c r="C23" s="102" t="s">
        <v>32</v>
      </c>
      <c r="D23" s="102"/>
      <c r="E23" s="102"/>
      <c r="F23" s="60"/>
      <c r="G23" s="45" t="s">
        <v>10</v>
      </c>
    </row>
    <row r="24" spans="2:7" ht="12.75" hidden="1" customHeight="1" x14ac:dyDescent="0.25">
      <c r="B24" s="104"/>
      <c r="C24" s="46" t="s">
        <v>7</v>
      </c>
      <c r="D24" s="46" t="s">
        <v>9</v>
      </c>
      <c r="E24" s="46" t="s">
        <v>8</v>
      </c>
      <c r="F24" s="19" t="s">
        <v>29</v>
      </c>
      <c r="G24" s="47">
        <f>B25</f>
        <v>44562</v>
      </c>
    </row>
    <row r="25" spans="2:7" ht="15.5" hidden="1" x14ac:dyDescent="0.25">
      <c r="B25" s="48">
        <f>B19</f>
        <v>44562</v>
      </c>
      <c r="C25" s="49">
        <f>VLOOKUP($B25,'AMPE-MCVE 2014'!B9:O269,14,FALSE)</f>
        <v>36.967741935483872</v>
      </c>
      <c r="D25" s="49">
        <f>VLOOKUP($B25,'AMPE-MCVE 2014'!B9:P269,15,FALSE)</f>
        <v>3.7682133233496069</v>
      </c>
      <c r="E25" s="49">
        <f>VLOOKUP($B25,'AMPE-MCVE 2014'!B9:Q269,16,FALSE)</f>
        <v>1.9830275229357799</v>
      </c>
      <c r="F25" s="50">
        <f>VLOOKUP($B25,'AMPE-MCVE 2014'!B14:D269,3,FALSE)</f>
        <v>42.718982781769256</v>
      </c>
      <c r="G25" s="49"/>
    </row>
    <row r="26" spans="2:7" ht="15.5" hidden="1" x14ac:dyDescent="0.25">
      <c r="B26" s="51">
        <f>B20</f>
        <v>44531</v>
      </c>
      <c r="C26" s="52">
        <f>VLOOKUP($B26,'AMPE-MCVE 2014'!B10:O269,14,FALSE)</f>
        <v>35.247311827956992</v>
      </c>
      <c r="D26" s="52">
        <f>VLOOKUP($B26,'AMPE-MCVE 2014'!B10:P269,15,FALSE)</f>
        <v>3.4904125189177315</v>
      </c>
      <c r="E26" s="52">
        <f>VLOOKUP($B26,'AMPE-MCVE 2014'!B10:Q269,16,FALSE)</f>
        <v>1.8912844036697247</v>
      </c>
      <c r="F26" s="53">
        <f>VLOOKUP($B26,'AMPE-MCVE 2014'!B15:D269,3,FALSE)</f>
        <v>40.629008750544443</v>
      </c>
      <c r="G26" s="85">
        <f>($F$25-F26)/F26</f>
        <v>5.1440438629869509E-2</v>
      </c>
    </row>
    <row r="27" spans="2:7" ht="15.5" hidden="1" x14ac:dyDescent="0.25">
      <c r="B27" s="54">
        <f>B21</f>
        <v>44197</v>
      </c>
      <c r="C27" s="49">
        <f>VLOOKUP($B27,'AMPE-MCVE 2014'!B11:O269,14,FALSE)</f>
        <v>28.150537634408604</v>
      </c>
      <c r="D27" s="49">
        <f>VLOOKUP($B27,'AMPE-MCVE 2014'!B11:P269,15,FALSE)</f>
        <v>2.1292223508365771</v>
      </c>
      <c r="E27" s="49">
        <f>VLOOKUP($B27,'AMPE-MCVE 2014'!B11:Q269,16,FALSE)</f>
        <v>1.1573394495412843</v>
      </c>
      <c r="F27" s="50">
        <f>VLOOKUP($B27,'AMPE-MCVE 2014'!B16:D269,3,FALSE)</f>
        <v>31.437099434786465</v>
      </c>
      <c r="G27" s="55">
        <f>($F$25-F27)/F27</f>
        <v>0.35887163732729477</v>
      </c>
    </row>
    <row r="28" spans="2:7" ht="15.5" hidden="1" x14ac:dyDescent="0.35">
      <c r="B28" s="61" t="s">
        <v>11</v>
      </c>
      <c r="C28" s="62"/>
      <c r="D28" s="62"/>
      <c r="E28" s="62"/>
      <c r="F28" s="84">
        <f>F25-F26</f>
        <v>2.0899740312248127</v>
      </c>
      <c r="G28" s="62"/>
    </row>
    <row r="31" spans="2:7" ht="15.5" x14ac:dyDescent="0.35">
      <c r="C31" s="105" t="s">
        <v>43</v>
      </c>
      <c r="D31" s="102"/>
      <c r="E31" s="106"/>
    </row>
    <row r="32" spans="2:7" ht="15.5" x14ac:dyDescent="0.25">
      <c r="C32" s="46"/>
      <c r="D32" s="46" t="s">
        <v>1</v>
      </c>
      <c r="E32" s="46" t="s">
        <v>44</v>
      </c>
    </row>
    <row r="33" spans="1:6" ht="15.5" x14ac:dyDescent="0.25">
      <c r="C33" s="48">
        <f t="shared" ref="C33:C36" si="0">EDATE(C34,-1)</f>
        <v>45566</v>
      </c>
      <c r="D33" s="79">
        <f>VLOOKUP($C33,MMV!$B:$D,2,FALSE)</f>
        <v>46.372220150190351</v>
      </c>
      <c r="E33" s="79">
        <f>VLOOKUP($C33,MMV!$B:$D,3,FALSE)</f>
        <v>1.0152627317261889</v>
      </c>
    </row>
    <row r="34" spans="1:6" ht="15.5" x14ac:dyDescent="0.25">
      <c r="A34" s="3"/>
      <c r="C34" s="51">
        <f t="shared" si="0"/>
        <v>45597</v>
      </c>
      <c r="D34" s="52">
        <f>VLOOKUP($C34,MMV!$B:$D,2,FALSE)</f>
        <v>45.636705149179356</v>
      </c>
      <c r="E34" s="52">
        <f>VLOOKUP($C34,MMV!$B:$D,3,FALSE)</f>
        <v>-0.73551500101099521</v>
      </c>
    </row>
    <row r="35" spans="1:6" ht="15.5" x14ac:dyDescent="0.25">
      <c r="C35" s="48">
        <f t="shared" si="0"/>
        <v>45627</v>
      </c>
      <c r="D35" s="49">
        <f>VLOOKUP($C35,MMV!$B:$D,2,FALSE)</f>
        <v>44.598179230359861</v>
      </c>
      <c r="E35" s="49">
        <f>VLOOKUP($C35,MMV!$B:$D,3,FALSE)</f>
        <v>-1.0385259188194951</v>
      </c>
    </row>
    <row r="36" spans="1:6" ht="15.5" x14ac:dyDescent="0.25">
      <c r="C36" s="51">
        <f t="shared" si="0"/>
        <v>45658</v>
      </c>
      <c r="D36" s="52">
        <f>VLOOKUP($C36,MMV!$B:$D,2,FALSE)</f>
        <v>43.622271595384149</v>
      </c>
      <c r="E36" s="52">
        <f>VLOOKUP($C36,MMV!$B:$D,3,FALSE)</f>
        <v>-0.97590763497571231</v>
      </c>
    </row>
    <row r="37" spans="1:6" ht="15.5" x14ac:dyDescent="0.25">
      <c r="C37" s="48">
        <f>EDATE(C38,-1)</f>
        <v>45689</v>
      </c>
      <c r="D37" s="49">
        <f>VLOOKUP($C37,MMV!$B:$D,2,FALSE)</f>
        <v>42.995937119176588</v>
      </c>
      <c r="E37" s="49">
        <f>VLOOKUP($C37,MMV!$B:$D,3,FALSE)</f>
        <v>-0.62633447620756044</v>
      </c>
    </row>
    <row r="38" spans="1:6" ht="15.5" x14ac:dyDescent="0.25">
      <c r="C38" s="51">
        <f>B4</f>
        <v>45717</v>
      </c>
      <c r="D38" s="52">
        <f>VLOOKUP($C38,MMV!$B:$D,2,FALSE)</f>
        <v>43.779145115428918</v>
      </c>
      <c r="E38" s="52">
        <f>VLOOKUP($C38,MMV!$B:$D,3,FALSE)</f>
        <v>0.78320799625232951</v>
      </c>
      <c r="F38" s="90"/>
    </row>
    <row r="39" spans="1:6" ht="15.5" x14ac:dyDescent="0.35">
      <c r="C39" s="61" t="s">
        <v>11</v>
      </c>
    </row>
  </sheetData>
  <mergeCells count="9">
    <mergeCell ref="C23:E23"/>
    <mergeCell ref="B23:B24"/>
    <mergeCell ref="C31:E31"/>
    <mergeCell ref="B2:B3"/>
    <mergeCell ref="C2:E2"/>
    <mergeCell ref="B8:B9"/>
    <mergeCell ref="C8:E8"/>
    <mergeCell ref="B17:B18"/>
    <mergeCell ref="C17:E17"/>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showGridLines="0" zoomScale="110" zoomScaleNormal="110" workbookViewId="0">
      <selection activeCell="T33" sqref="T33"/>
    </sheetView>
  </sheetViews>
  <sheetFormatPr defaultColWidth="9.09765625" defaultRowHeight="12.5" x14ac:dyDescent="0.25"/>
  <cols>
    <col min="1" max="16384" width="9.09765625" style="1"/>
  </cols>
  <sheetData/>
  <pageMargins left="0.75" right="0.75" top="1" bottom="1" header="0.5" footer="0.5"/>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42"/>
  <sheetViews>
    <sheetView showGridLines="0" topLeftCell="A5" zoomScaleNormal="100" workbookViewId="0">
      <selection activeCell="F35" sqref="F35"/>
    </sheetView>
  </sheetViews>
  <sheetFormatPr defaultColWidth="11.3984375" defaultRowHeight="15.5" x14ac:dyDescent="0.3"/>
  <cols>
    <col min="1" max="1" width="26" style="63" customWidth="1"/>
    <col min="2" max="11" width="12.69921875" style="63" customWidth="1"/>
    <col min="12" max="16384" width="11.3984375" style="63"/>
  </cols>
  <sheetData>
    <row r="1" spans="1:11" ht="15" customHeight="1" thickBot="1" x14ac:dyDescent="0.35"/>
    <row r="2" spans="1:11" s="27" customFormat="1" x14ac:dyDescent="0.3">
      <c r="A2" s="28" t="s">
        <v>21</v>
      </c>
      <c r="B2" s="28"/>
      <c r="C2" s="28"/>
      <c r="D2" s="28"/>
      <c r="E2" s="28"/>
      <c r="F2" s="28"/>
      <c r="G2" s="28"/>
      <c r="H2" s="28"/>
      <c r="I2" s="28"/>
      <c r="J2" s="28"/>
      <c r="K2" s="28"/>
    </row>
    <row r="3" spans="1:11" s="27" customFormat="1" x14ac:dyDescent="0.3">
      <c r="A3" s="75"/>
      <c r="B3" s="75"/>
      <c r="C3" s="75"/>
      <c r="D3" s="75"/>
      <c r="E3" s="75"/>
      <c r="F3" s="75"/>
      <c r="G3" s="75"/>
      <c r="H3" s="75"/>
      <c r="I3" s="75"/>
      <c r="J3" s="75"/>
      <c r="K3" s="75"/>
    </row>
    <row r="4" spans="1:11" s="27" customFormat="1" ht="15.75" customHeight="1" x14ac:dyDescent="0.3">
      <c r="A4" s="108" t="s">
        <v>39</v>
      </c>
      <c r="B4" s="108"/>
      <c r="C4" s="108"/>
      <c r="D4" s="108"/>
      <c r="E4" s="108"/>
      <c r="F4" s="108"/>
      <c r="G4" s="108"/>
      <c r="H4" s="108"/>
      <c r="I4" s="108"/>
      <c r="J4" s="108"/>
      <c r="K4" s="108"/>
    </row>
    <row r="5" spans="1:11" s="27" customFormat="1" ht="34.5" customHeight="1" x14ac:dyDescent="0.3">
      <c r="A5" s="108"/>
      <c r="B5" s="108"/>
      <c r="C5" s="108"/>
      <c r="D5" s="108"/>
      <c r="E5" s="108"/>
      <c r="F5" s="108"/>
      <c r="G5" s="108"/>
      <c r="H5" s="108"/>
      <c r="I5" s="108"/>
      <c r="J5" s="108"/>
      <c r="K5" s="108"/>
    </row>
    <row r="6" spans="1:11" s="29" customFormat="1" ht="21" customHeight="1" x14ac:dyDescent="0.35">
      <c r="A6" s="29" t="s">
        <v>34</v>
      </c>
    </row>
    <row r="7" spans="1:11" s="29" customFormat="1" ht="21" customHeight="1" x14ac:dyDescent="0.35">
      <c r="A7" s="91" t="s">
        <v>60</v>
      </c>
    </row>
    <row r="8" spans="1:11" s="27" customFormat="1" ht="51" customHeight="1" x14ac:dyDescent="0.3">
      <c r="A8" s="109" t="s">
        <v>20</v>
      </c>
      <c r="B8" s="109"/>
      <c r="C8" s="109"/>
      <c r="D8" s="109"/>
      <c r="E8" s="109"/>
      <c r="F8" s="109"/>
      <c r="G8" s="109"/>
      <c r="H8" s="109"/>
      <c r="I8" s="109"/>
      <c r="J8" s="109"/>
      <c r="K8" s="109"/>
    </row>
    <row r="9" spans="1:11" s="27" customFormat="1" ht="9.75" customHeight="1" x14ac:dyDescent="0.3"/>
    <row r="10" spans="1:11" s="27" customFormat="1" x14ac:dyDescent="0.3">
      <c r="A10" s="81" t="s">
        <v>33</v>
      </c>
    </row>
    <row r="11" spans="1:11" s="27" customFormat="1" ht="15" customHeight="1" thickBot="1" x14ac:dyDescent="0.35"/>
    <row r="12" spans="1:11" x14ac:dyDescent="0.35">
      <c r="A12" s="111" t="s">
        <v>12</v>
      </c>
      <c r="B12" s="111"/>
      <c r="C12" s="111"/>
      <c r="D12" s="111"/>
      <c r="E12" s="111"/>
      <c r="F12" s="111"/>
      <c r="G12" s="111"/>
      <c r="H12" s="111"/>
      <c r="I12" s="111"/>
      <c r="J12" s="111"/>
      <c r="K12" s="111"/>
    </row>
    <row r="13" spans="1:11" ht="15" customHeight="1" x14ac:dyDescent="0.35">
      <c r="A13" s="64"/>
      <c r="B13" s="64"/>
      <c r="C13" s="64"/>
      <c r="D13" s="64"/>
      <c r="E13" s="64"/>
      <c r="F13" s="64"/>
      <c r="G13" s="64"/>
      <c r="H13" s="64"/>
      <c r="I13" s="64"/>
      <c r="J13" s="64"/>
      <c r="K13" s="64"/>
    </row>
    <row r="14" spans="1:11" s="30" customFormat="1" ht="15" customHeight="1" x14ac:dyDescent="0.35">
      <c r="A14" s="31"/>
      <c r="B14" s="31"/>
      <c r="C14" s="31"/>
      <c r="D14" s="31"/>
      <c r="E14" s="31"/>
      <c r="F14" s="31"/>
      <c r="G14" s="31"/>
      <c r="H14" s="31"/>
      <c r="I14" s="31"/>
      <c r="J14" s="31"/>
      <c r="K14" s="31"/>
    </row>
    <row r="15" spans="1:11" s="30" customFormat="1" ht="13.4" customHeight="1" x14ac:dyDescent="0.3">
      <c r="A15" s="112" t="s">
        <v>13</v>
      </c>
      <c r="B15" s="112"/>
      <c r="C15" s="112"/>
      <c r="D15" s="112"/>
      <c r="E15" s="112"/>
      <c r="F15" s="112"/>
      <c r="G15" s="112"/>
      <c r="H15" s="112"/>
      <c r="I15" s="112"/>
      <c r="J15" s="112"/>
      <c r="K15" s="112"/>
    </row>
    <row r="16" spans="1:11" s="30" customFormat="1" ht="13.4" customHeight="1" x14ac:dyDescent="0.3">
      <c r="A16" s="112"/>
      <c r="B16" s="112"/>
      <c r="C16" s="112"/>
      <c r="D16" s="112"/>
      <c r="E16" s="112"/>
      <c r="F16" s="112"/>
      <c r="G16" s="112"/>
      <c r="H16" s="112"/>
      <c r="I16" s="112"/>
      <c r="J16" s="112"/>
      <c r="K16" s="112"/>
    </row>
    <row r="17" spans="1:11" s="30" customFormat="1" ht="13.4" customHeight="1" x14ac:dyDescent="0.3">
      <c r="A17" s="112"/>
      <c r="B17" s="112"/>
      <c r="C17" s="112"/>
      <c r="D17" s="112"/>
      <c r="E17" s="112"/>
      <c r="F17" s="112"/>
      <c r="G17" s="112"/>
      <c r="H17" s="112"/>
      <c r="I17" s="112"/>
      <c r="J17" s="112"/>
      <c r="K17" s="112"/>
    </row>
    <row r="18" spans="1:11" s="30" customFormat="1" ht="13.4" customHeight="1" x14ac:dyDescent="0.3">
      <c r="A18" s="112"/>
      <c r="B18" s="112"/>
      <c r="C18" s="112"/>
      <c r="D18" s="112"/>
      <c r="E18" s="112"/>
      <c r="F18" s="112"/>
      <c r="G18" s="112"/>
      <c r="H18" s="112"/>
      <c r="I18" s="112"/>
      <c r="J18" s="112"/>
      <c r="K18" s="112"/>
    </row>
    <row r="19" spans="1:11" s="30" customFormat="1" x14ac:dyDescent="0.3">
      <c r="A19" s="112"/>
      <c r="B19" s="112"/>
      <c r="C19" s="112"/>
      <c r="D19" s="112"/>
      <c r="E19" s="112"/>
      <c r="F19" s="112"/>
      <c r="G19" s="112"/>
      <c r="H19" s="112"/>
      <c r="I19" s="112"/>
      <c r="J19" s="112"/>
      <c r="K19" s="112"/>
    </row>
    <row r="20" spans="1:11" s="30" customFormat="1" ht="15" customHeight="1" x14ac:dyDescent="0.3">
      <c r="A20" s="40"/>
      <c r="B20" s="40"/>
      <c r="C20" s="40"/>
      <c r="D20" s="40"/>
      <c r="E20" s="40"/>
      <c r="F20" s="40"/>
      <c r="G20" s="40"/>
      <c r="H20" s="40"/>
      <c r="I20" s="40"/>
      <c r="J20" s="40"/>
      <c r="K20" s="40"/>
    </row>
    <row r="21" spans="1:11" s="30" customFormat="1" ht="15" customHeight="1" x14ac:dyDescent="0.3">
      <c r="A21" s="112"/>
      <c r="B21" s="112"/>
      <c r="C21" s="112"/>
      <c r="D21" s="112"/>
      <c r="E21" s="112"/>
      <c r="F21" s="112"/>
      <c r="G21" s="112"/>
      <c r="H21" s="112"/>
      <c r="I21" s="112"/>
      <c r="J21" s="112"/>
      <c r="K21" s="112"/>
    </row>
    <row r="22" spans="1:11" s="30" customFormat="1" ht="15" customHeight="1" x14ac:dyDescent="0.3">
      <c r="A22" s="112" t="s">
        <v>61</v>
      </c>
      <c r="B22" s="112"/>
      <c r="C22" s="112"/>
      <c r="D22" s="112"/>
      <c r="E22" s="112"/>
      <c r="F22" s="112"/>
      <c r="G22" s="112"/>
      <c r="H22" s="112"/>
      <c r="I22" s="112"/>
      <c r="J22" s="112"/>
      <c r="K22" s="112"/>
    </row>
    <row r="23" spans="1:11" ht="15" customHeight="1" thickBot="1" x14ac:dyDescent="0.35">
      <c r="A23" s="65"/>
      <c r="B23" s="65"/>
      <c r="C23" s="65"/>
      <c r="D23" s="65"/>
      <c r="E23" s="65"/>
      <c r="F23" s="65"/>
      <c r="G23" s="65"/>
      <c r="H23" s="65"/>
      <c r="I23" s="65"/>
      <c r="J23" s="65"/>
      <c r="K23" s="65"/>
    </row>
    <row r="24" spans="1:11" x14ac:dyDescent="0.35">
      <c r="A24" s="111" t="s">
        <v>14</v>
      </c>
      <c r="B24" s="111"/>
      <c r="C24" s="111"/>
      <c r="D24" s="111"/>
      <c r="E24" s="111"/>
      <c r="F24" s="111"/>
      <c r="G24" s="111"/>
      <c r="H24" s="111"/>
      <c r="I24" s="111"/>
      <c r="J24" s="111"/>
      <c r="K24" s="111"/>
    </row>
    <row r="25" spans="1:11" ht="15" customHeight="1" x14ac:dyDescent="0.35">
      <c r="A25" s="64"/>
      <c r="B25" s="64"/>
      <c r="C25" s="64"/>
      <c r="D25" s="64"/>
      <c r="E25" s="64"/>
      <c r="F25" s="64"/>
      <c r="G25" s="64"/>
      <c r="H25" s="64"/>
      <c r="I25" s="64"/>
      <c r="J25" s="64"/>
      <c r="K25" s="64"/>
    </row>
    <row r="26" spans="1:11" x14ac:dyDescent="0.3">
      <c r="A26" s="113" t="s">
        <v>23</v>
      </c>
      <c r="B26" s="114" t="s">
        <v>59</v>
      </c>
      <c r="C26" s="115"/>
      <c r="D26" s="115"/>
      <c r="E26" s="115"/>
      <c r="F26" s="115"/>
      <c r="G26" s="115"/>
      <c r="H26" s="115"/>
      <c r="I26" s="115"/>
      <c r="J26" s="115"/>
      <c r="K26" s="115"/>
    </row>
    <row r="27" spans="1:11" x14ac:dyDescent="0.3">
      <c r="A27" s="113"/>
      <c r="B27" s="115"/>
      <c r="C27" s="115"/>
      <c r="D27" s="115"/>
      <c r="E27" s="115"/>
      <c r="F27" s="115"/>
      <c r="G27" s="115"/>
      <c r="H27" s="115"/>
      <c r="I27" s="115"/>
      <c r="J27" s="115"/>
      <c r="K27" s="115"/>
    </row>
    <row r="28" spans="1:11" x14ac:dyDescent="0.3">
      <c r="A28" s="65"/>
      <c r="B28" s="115"/>
      <c r="C28" s="115"/>
      <c r="D28" s="115"/>
      <c r="E28" s="115"/>
      <c r="F28" s="115"/>
      <c r="G28" s="115"/>
      <c r="H28" s="115"/>
      <c r="I28" s="115"/>
      <c r="J28" s="115"/>
      <c r="K28" s="115"/>
    </row>
    <row r="29" spans="1:11" x14ac:dyDescent="0.3">
      <c r="B29" s="115"/>
      <c r="C29" s="115"/>
      <c r="D29" s="115"/>
      <c r="E29" s="115"/>
      <c r="F29" s="115"/>
      <c r="G29" s="115"/>
      <c r="H29" s="115"/>
      <c r="I29" s="115"/>
      <c r="J29" s="115"/>
      <c r="K29" s="115"/>
    </row>
    <row r="30" spans="1:11" x14ac:dyDescent="0.3">
      <c r="B30" s="115"/>
      <c r="C30" s="115"/>
      <c r="D30" s="115"/>
      <c r="E30" s="115"/>
      <c r="F30" s="115"/>
      <c r="G30" s="115"/>
      <c r="H30" s="115"/>
      <c r="I30" s="115"/>
      <c r="J30" s="115"/>
      <c r="K30" s="115"/>
    </row>
    <row r="31" spans="1:11" x14ac:dyDescent="0.3">
      <c r="A31" s="66" t="s">
        <v>15</v>
      </c>
      <c r="B31" s="63" t="s">
        <v>16</v>
      </c>
    </row>
    <row r="32" spans="1:11" x14ac:dyDescent="0.3">
      <c r="A32" s="67" t="s">
        <v>17</v>
      </c>
      <c r="B32" s="68" t="s">
        <v>24</v>
      </c>
      <c r="C32" s="68"/>
      <c r="D32" s="68"/>
      <c r="E32" s="68"/>
      <c r="F32" s="68"/>
      <c r="G32" s="68"/>
      <c r="H32" s="68"/>
      <c r="I32" s="68"/>
      <c r="J32" s="68"/>
      <c r="K32" s="68"/>
    </row>
    <row r="33" spans="1:11" x14ac:dyDescent="0.3">
      <c r="A33" s="67" t="s">
        <v>18</v>
      </c>
      <c r="B33" s="116" t="s">
        <v>19</v>
      </c>
      <c r="C33" s="116"/>
      <c r="D33" s="116"/>
      <c r="E33" s="116"/>
      <c r="F33" s="116"/>
      <c r="G33" s="116"/>
      <c r="H33" s="116"/>
      <c r="I33" s="116"/>
      <c r="J33" s="116"/>
      <c r="K33" s="116"/>
    </row>
    <row r="34" spans="1:11" ht="15" customHeight="1" thickBot="1" x14ac:dyDescent="0.35">
      <c r="A34" s="69"/>
      <c r="B34" s="110"/>
      <c r="C34" s="110"/>
      <c r="D34" s="110"/>
      <c r="E34" s="110"/>
      <c r="F34" s="110"/>
      <c r="G34" s="110"/>
      <c r="H34" s="110"/>
      <c r="I34" s="110"/>
      <c r="J34" s="110"/>
      <c r="K34" s="110"/>
    </row>
    <row r="42" spans="1:11" x14ac:dyDescent="0.3">
      <c r="A42" s="32"/>
      <c r="B42" s="32"/>
      <c r="C42" s="32"/>
      <c r="D42" s="32"/>
      <c r="E42" s="32"/>
      <c r="F42" s="32"/>
      <c r="G42" s="32"/>
      <c r="H42" s="32"/>
      <c r="I42" s="32"/>
      <c r="J42" s="32"/>
      <c r="K42" s="32"/>
    </row>
  </sheetData>
  <mergeCells count="11">
    <mergeCell ref="A4:K5"/>
    <mergeCell ref="A8:K8"/>
    <mergeCell ref="B34:K34"/>
    <mergeCell ref="A12:K12"/>
    <mergeCell ref="A15:K19"/>
    <mergeCell ref="A21:K21"/>
    <mergeCell ref="A22:K22"/>
    <mergeCell ref="A24:K24"/>
    <mergeCell ref="A26:A27"/>
    <mergeCell ref="B26:K30"/>
    <mergeCell ref="B33:K33"/>
  </mergeCells>
  <hyperlinks>
    <hyperlink ref="B32" r:id="rId1" xr:uid="{00000000-0004-0000-0700-000000000000}"/>
    <hyperlink ref="B33:C33" r:id="rId2" display="ahdb.org.uk" xr:uid="{00000000-0004-0000-0700-000001000000}"/>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MMV</vt:lpstr>
      <vt:lpstr>AMPE-MCVE</vt:lpstr>
      <vt:lpstr>Processing costs</vt:lpstr>
      <vt:lpstr>AMPE-MCVE 2014</vt:lpstr>
      <vt:lpstr>Old charst_hide</vt:lpstr>
      <vt:lpstr>Table - HIDE</vt:lpstr>
      <vt:lpstr>Chart</vt:lpstr>
      <vt:lpstr>Disclaimer and notes</vt:lpstr>
    </vt:vector>
  </TitlesOfParts>
  <Company>AHDB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Felicity Rusk</dc:creator>
  <cp:lastModifiedBy>Freya Shuttleworth</cp:lastModifiedBy>
  <dcterms:created xsi:type="dcterms:W3CDTF">2019-09-17T09:10:32Z</dcterms:created>
  <dcterms:modified xsi:type="dcterms:W3CDTF">2025-03-25T11:43:10Z</dcterms:modified>
</cp:coreProperties>
</file>